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<sst xmlns="http://schemas.openxmlformats.org/spreadsheetml/2006/main" count="223" uniqueCount="222">
  <si>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</si>
  <si>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</si>
  <si>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</si>
  <si>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</si>
  <si>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</si>
  <si>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</si>
  <si>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</si>
  <si>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</si>
  <si>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</si>
  <si>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</si>
  <si>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</si>
  <si>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</si>
  <si>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</si>
  <si>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</si>
  <si>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</si>
  <si>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</si>
  <si>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</si>
  <si>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</si>
  <si>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</si>
  <si>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</si>
  <si>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</si>
  <si>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</si>
  <si>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</si>
  <si>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</si>
  <si>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</si>
  <si>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</si>
  <si>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</si>
  <si>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</si>
  <si>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</si>
  <si>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</si>
  <si>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</si>
  <si>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</si>
  <si>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</si>
  <si>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</si>
  <si>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</si>
  <si>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</si>
  <si>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</si>
  <si>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</si>
  <si>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</si>
  <si>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</si>
  <si>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</si>
  <si>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</si>
  <si>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</si>
  <si>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</si>
  <si>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</si>
  <si>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</si>
  <si>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</si>
  <si>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</si>
  <si>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</si>
  <si>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</si>
  <si>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</si>
  <si>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</si>
  <si>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</si>
  <si>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</si>
  <si>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</si>
  <si>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</si>
  <si>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</si>
  <si>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</si>
  <si>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</si>
  <si>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</si>
  <si>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</si>
  <si>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</si>
  <si>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</si>
  <si>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</si>
  <si>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</si>
  <si>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</si>
  <si>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</si>
  <si>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</si>
  <si>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</si>
  <si>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</si>
  <si>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</si>
  <si>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</si>
  <si>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</si>
  <si>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</si>
  <si>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</si>
  <si>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</si>
  <si>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</si>
  <si>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</si>
  <si>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</si>
  <si>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</si>
  <si>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</si>
  <si>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</si>
  <si>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</si>
  <si>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</si>
  <si>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</si>
  <si>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</si>
  <si>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</si>
  <si>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</si>
  <si>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</si>
  <si>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</si>
  <si>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</si>
  <si>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</si>
  <si>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</si>
  <si>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</si>
  <si>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</si>
  <si>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</si>
  <si>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</si>
  <si>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</si>
  <si>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</si>
  <si>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</si>
  <si>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</si>
  <si>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</si>
  <si>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</si>
  <si>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</si>
  <si>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</si>
  <si>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</si>
  <si>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</si>
  <si>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</si>
  <si>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</si>
  <si>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</si>
  <si>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</si>
  <si>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</si>
  <si>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</si>
  <si>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</si>
  <si>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</si>
  <si>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</si>
  <si>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</si>
  <si>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</si>
  <si>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</si>
  <si>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</si>
  <si>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</si>
  <si>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</si>
  <si>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</si>
  <si>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</si>
  <si>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</si>
  <si>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</si>
  <si>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</si>
  <si>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</si>
  <si>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</si>
  <si>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</si>
  <si>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</si>
  <si>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</si>
  <si>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</si>
  <si>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</si>
  <si>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</si>
  <si>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</si>
  <si>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</si>
  <si>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</si>
  <si>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</si>
  <si>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</si>
  <si>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</si>
  <si>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</si>
  <si>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</si>
  <si>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</si>
  <si>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</si>
  <si>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</si>
  <si>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</si>
  <si>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</si>
  <si>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</si>
  <si>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</si>
  <si>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</si>
  <si>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</si>
  <si>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</si>
  <si>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</si>
  <si>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</si>
  <si>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</si>
  <si>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</si>
  <si>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</si>
  <si>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</si>
  <si>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</si>
  <si>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</si>
  <si>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</si>
  <si>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</si>
  <si>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</si>
  <si>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</si>
  <si>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</si>
  <si>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</si>
  <si>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</si>
  <si>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</si>
  <si>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</si>
  <si>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</si>
  <si>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</si>
  <si>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</si>
  <si>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</si>
  <si>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</si>
  <si>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</si>
  <si>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</si>
  <si>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</si>
  <si>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</si>
  <si>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</si>
  <si>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</si>
  <si>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</si>
  <si>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</si>
  <si>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</si>
  <si>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</si>
  <si>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</si>
  <si>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</si>
  <si>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</si>
  <si>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</si>
  <si>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</si>
  <si>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</si>
  <si>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</si>
  <si>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</si>
  <si>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</si>
  <si>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</si>
  <si>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</si>
  <si>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</si>
  <si>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</si>
  <si>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</si>
  <si>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</si>
  <si>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</si>
  <si>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</si>
  <si>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</si>
  <si>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</si>
  <si>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</si>
  <si>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</si>
  <si>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</si>
  <si>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</si>
  <si>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</si>
  <si>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</si>
  <si>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</si>
  <si>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Капіталльний ремонт житлового будинку №43 по вул. Різдвяна (інженерні мережі)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</si>
  <si>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</si>
  <si>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</si>
  <si>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</si>
  <si>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</si>
  <si>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</si>
  <si>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</si>
  <si>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</si>
  <si>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</si>
  <si>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Черкаською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</si>
  <si>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Профінансовано станом на 18.09.2018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</si>
</sst>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0"/>
  <sheetViews>
    <sheetView tabSelected="1" zoomScale="90" zoomScaleNormal="90" zoomScalePageLayoutView="0" workbookViewId="0" topLeftCell="A81">
      <selection activeCell="C87" sqref="C87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39" t="s">
        <v>24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2:30" ht="6.75" customHeight="1" thickBot="1">
      <c r="B3" s="7"/>
      <c r="C3" s="7"/>
      <c r="AD3" s="18"/>
    </row>
    <row r="4" spans="1:33" ht="12.75">
      <c r="A4" s="141" t="s">
        <v>16</v>
      </c>
      <c r="B4" s="143" t="s">
        <v>17</v>
      </c>
      <c r="C4" s="145" t="s">
        <v>36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6" t="s">
        <v>66</v>
      </c>
      <c r="AD4" s="134" t="s">
        <v>67</v>
      </c>
      <c r="AE4" s="84" t="s">
        <v>132</v>
      </c>
      <c r="AF4" s="134" t="s">
        <v>221</v>
      </c>
      <c r="AG4" s="132" t="s">
        <v>169</v>
      </c>
    </row>
    <row r="5" spans="1:33" ht="41.25" customHeight="1" thickBot="1">
      <c r="A5" s="142"/>
      <c r="B5" s="144"/>
      <c r="C5" s="14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7"/>
      <c r="AD5" s="148"/>
      <c r="AE5" s="88" t="s">
        <v>131</v>
      </c>
      <c r="AF5" s="135"/>
      <c r="AG5" s="133"/>
    </row>
    <row r="6" spans="1:33" ht="30">
      <c r="A6" s="31" t="s">
        <v>28</v>
      </c>
      <c r="B6" s="97" t="s">
        <v>84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SUM(AD7:AD65)</f>
        <v>32345464.439999998</v>
      </c>
      <c r="AE6" s="101">
        <f>AD6</f>
        <v>32345464.439999998</v>
      </c>
      <c r="AF6" s="102">
        <f>SUM(AF7:AF65)</f>
        <v>4557413.219999999</v>
      </c>
      <c r="AG6" s="82">
        <f>AF6/C6*100</f>
        <v>14.089806094619178</v>
      </c>
    </row>
    <row r="7" spans="1:33" ht="42">
      <c r="A7" s="20" t="s">
        <v>2</v>
      </c>
      <c r="B7" s="103" t="s">
        <v>173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50</v>
      </c>
      <c r="B8" s="103" t="s">
        <v>174</v>
      </c>
      <c r="C8" s="89">
        <f aca="true" t="shared" si="0" ref="C8:C65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5">AE8</f>
        <v>76000</v>
      </c>
      <c r="AE8" s="107">
        <v>76000</v>
      </c>
      <c r="AF8" s="108"/>
      <c r="AG8" s="78">
        <f aca="true" t="shared" si="2" ref="AG8:AG81">AF8/C8*100</f>
        <v>0</v>
      </c>
    </row>
    <row r="9" spans="1:33" ht="27.75">
      <c r="A9" s="20" t="s">
        <v>51</v>
      </c>
      <c r="B9" s="103" t="s">
        <v>175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44</v>
      </c>
      <c r="B10" s="103" t="s">
        <v>68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45</v>
      </c>
      <c r="B11" s="103" t="s">
        <v>69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70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71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46</v>
      </c>
      <c r="B14" s="103" t="s">
        <v>72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209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73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52</v>
      </c>
      <c r="B17" s="103" t="s">
        <v>74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75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86</v>
      </c>
      <c r="B19" s="103" t="s">
        <v>76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87</v>
      </c>
      <c r="B20" s="103" t="s">
        <v>176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88</v>
      </c>
      <c r="B21" s="103" t="s">
        <v>177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89</v>
      </c>
      <c r="B22" s="103" t="s">
        <v>178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90</v>
      </c>
      <c r="B23" s="103" t="s">
        <v>179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91</v>
      </c>
      <c r="B24" s="103" t="s">
        <v>180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92</v>
      </c>
      <c r="B25" s="103" t="s">
        <v>181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93</v>
      </c>
      <c r="B26" s="103" t="s">
        <v>208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94</v>
      </c>
      <c r="B27" s="103" t="s">
        <v>168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</f>
        <v>663537</v>
      </c>
      <c r="AG27" s="78">
        <f t="shared" si="2"/>
        <v>51.04130769230769</v>
      </c>
    </row>
    <row r="28" spans="1:33" ht="27.75">
      <c r="A28" s="20" t="s">
        <v>95</v>
      </c>
      <c r="B28" s="103" t="s">
        <v>170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96</v>
      </c>
      <c r="B29" s="103" t="s">
        <v>77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97</v>
      </c>
      <c r="B30" s="103" t="s">
        <v>133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98</v>
      </c>
      <c r="B31" s="103" t="s">
        <v>182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99</v>
      </c>
      <c r="B32" s="103" t="s">
        <v>78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100</v>
      </c>
      <c r="B33" s="103" t="s">
        <v>79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101</v>
      </c>
      <c r="B34" s="103" t="s">
        <v>80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102</v>
      </c>
      <c r="B35" s="103" t="s">
        <v>183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103</v>
      </c>
      <c r="B36" s="103" t="s">
        <v>210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104</v>
      </c>
      <c r="B37" s="110" t="s">
        <v>184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105</v>
      </c>
      <c r="B38" s="111" t="s">
        <v>185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106</v>
      </c>
      <c r="B39" s="112" t="s">
        <v>186</v>
      </c>
      <c r="C39" s="89">
        <f t="shared" si="0"/>
        <v>150000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150000</v>
      </c>
      <c r="AE39" s="107">
        <v>150000</v>
      </c>
      <c r="AF39" s="108"/>
      <c r="AG39" s="78">
        <f t="shared" si="2"/>
        <v>0</v>
      </c>
    </row>
    <row r="40" spans="1:33" ht="27.75">
      <c r="A40" s="20" t="s">
        <v>107</v>
      </c>
      <c r="B40" s="112" t="s">
        <v>187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147</v>
      </c>
      <c r="B41" s="112" t="s">
        <v>188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148</v>
      </c>
      <c r="B42" s="112" t="s">
        <v>189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149</v>
      </c>
      <c r="B43" s="112" t="s">
        <v>81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150</v>
      </c>
      <c r="B44" s="112" t="s">
        <v>161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151</v>
      </c>
      <c r="B45" s="112" t="s">
        <v>137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152</v>
      </c>
      <c r="B46" s="113" t="s">
        <v>138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153</v>
      </c>
      <c r="B47" s="112" t="s">
        <v>190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154</v>
      </c>
      <c r="B48" s="112" t="s">
        <v>191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155</v>
      </c>
      <c r="B49" s="112" t="s">
        <v>139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156</v>
      </c>
      <c r="B50" s="112" t="s">
        <v>140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157</v>
      </c>
      <c r="B51" s="114" t="s">
        <v>141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158</v>
      </c>
      <c r="B52" s="114" t="s">
        <v>192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159</v>
      </c>
      <c r="B53" s="115" t="s">
        <v>142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162</v>
      </c>
      <c r="B54" s="115" t="s">
        <v>194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5">AF54/C54*100</f>
        <v>0</v>
      </c>
    </row>
    <row r="55" spans="1:33" ht="27.75">
      <c r="A55" s="20" t="s">
        <v>193</v>
      </c>
      <c r="B55" s="115" t="s">
        <v>143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195</v>
      </c>
      <c r="B56" s="115" t="s">
        <v>144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196</v>
      </c>
      <c r="B57" s="115" t="s">
        <v>198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197</v>
      </c>
      <c r="B58" s="115" t="s">
        <v>145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199</v>
      </c>
      <c r="B59" s="115" t="s">
        <v>146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200</v>
      </c>
      <c r="B60" s="115" t="s">
        <v>202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201</v>
      </c>
      <c r="B61" s="115" t="s">
        <v>204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203</v>
      </c>
      <c r="B62" s="115" t="s">
        <v>163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205</v>
      </c>
      <c r="B63" s="115" t="s">
        <v>164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27.75">
      <c r="A64" s="20" t="s">
        <v>206</v>
      </c>
      <c r="B64" s="115" t="s">
        <v>211</v>
      </c>
      <c r="C64" s="89">
        <f t="shared" si="0"/>
        <v>16666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  <c r="AD64" s="106">
        <f t="shared" si="1"/>
        <v>16666</v>
      </c>
      <c r="AE64" s="107">
        <v>16666</v>
      </c>
      <c r="AF64" s="109"/>
      <c r="AG64" s="78">
        <f t="shared" si="4"/>
        <v>0</v>
      </c>
    </row>
    <row r="65" spans="1:33" ht="55.5">
      <c r="A65" s="20" t="s">
        <v>206</v>
      </c>
      <c r="B65" s="52" t="s">
        <v>207</v>
      </c>
      <c r="C65" s="89">
        <f t="shared" si="0"/>
        <v>18900000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19"/>
      <c r="AD65" s="24">
        <f t="shared" si="1"/>
        <v>18900000</v>
      </c>
      <c r="AE65" s="81">
        <v>18900000</v>
      </c>
      <c r="AF65" s="116">
        <f>340914.2+29821.92+130795.6+359413.07</f>
        <v>860944.79</v>
      </c>
      <c r="AG65" s="78">
        <f t="shared" si="4"/>
        <v>4.55526343915344</v>
      </c>
    </row>
    <row r="66" spans="1:33" ht="15">
      <c r="A66" s="27" t="s">
        <v>85</v>
      </c>
      <c r="B66" s="53" t="s">
        <v>128</v>
      </c>
      <c r="C66" s="40">
        <f>AD66</f>
        <v>7175000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8"/>
      <c r="AD66" s="29">
        <f>AD67</f>
        <v>7175000</v>
      </c>
      <c r="AE66" s="63">
        <f>AD66</f>
        <v>7175000</v>
      </c>
      <c r="AF66" s="36">
        <f>AF67</f>
        <v>4534718.989999999</v>
      </c>
      <c r="AG66" s="76">
        <f t="shared" si="2"/>
        <v>63.20165839721253</v>
      </c>
    </row>
    <row r="67" spans="1:33" ht="55.5">
      <c r="A67" s="20" t="s">
        <v>108</v>
      </c>
      <c r="B67" s="51" t="s">
        <v>82</v>
      </c>
      <c r="C67" s="38">
        <f>AD67</f>
        <v>7175000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19"/>
      <c r="AD67" s="25">
        <v>7175000</v>
      </c>
      <c r="AE67" s="64">
        <f>AD67</f>
        <v>7175000</v>
      </c>
      <c r="AF67" s="81">
        <f>2994538.8+52872+280044+277828.59+929435.6</f>
        <v>4534718.989999999</v>
      </c>
      <c r="AG67" s="78">
        <f t="shared" si="2"/>
        <v>63.20165839721253</v>
      </c>
    </row>
    <row r="68" spans="1:33" ht="30">
      <c r="A68" s="27" t="s">
        <v>27</v>
      </c>
      <c r="B68" s="53" t="s">
        <v>129</v>
      </c>
      <c r="C68" s="40">
        <f>AD68</f>
        <v>2545000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28"/>
      <c r="AD68" s="29">
        <f>AD69</f>
        <v>2545000</v>
      </c>
      <c r="AE68" s="63">
        <f>AD68</f>
        <v>2545000</v>
      </c>
      <c r="AF68" s="36">
        <f>AF69</f>
        <v>930061</v>
      </c>
      <c r="AG68" s="76">
        <f t="shared" si="2"/>
        <v>36.54463654223969</v>
      </c>
    </row>
    <row r="69" spans="1:33" ht="42">
      <c r="A69" s="20" t="s">
        <v>54</v>
      </c>
      <c r="B69" s="51" t="s">
        <v>83</v>
      </c>
      <c r="C69" s="38">
        <f>AD69</f>
        <v>2545000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19"/>
      <c r="AD69" s="25">
        <v>2545000</v>
      </c>
      <c r="AE69" s="64">
        <f>AD69</f>
        <v>2545000</v>
      </c>
      <c r="AF69" s="131">
        <f>278748+651313</f>
        <v>930061</v>
      </c>
      <c r="AG69" s="78">
        <f t="shared" si="2"/>
        <v>36.54463654223969</v>
      </c>
    </row>
    <row r="70" spans="1:33" s="3" customFormat="1" ht="29.25" customHeight="1">
      <c r="A70" s="22" t="s">
        <v>109</v>
      </c>
      <c r="B70" s="54" t="s">
        <v>23</v>
      </c>
      <c r="C70" s="40">
        <f>AC70+AD70</f>
        <v>51818854.68</v>
      </c>
      <c r="D70" s="40">
        <f aca="true" t="shared" si="5" ref="D70:AB70">D71+D78+D84+D88+D95+D104+D107+D112+D114+D117+D118+D121</f>
        <v>0</v>
      </c>
      <c r="E70" s="40">
        <f t="shared" si="5"/>
        <v>0</v>
      </c>
      <c r="F70" s="40">
        <f t="shared" si="5"/>
        <v>0</v>
      </c>
      <c r="G70" s="40">
        <f t="shared" si="5"/>
        <v>0</v>
      </c>
      <c r="H70" s="40">
        <f t="shared" si="5"/>
        <v>0</v>
      </c>
      <c r="I70" s="40">
        <f t="shared" si="5"/>
        <v>0</v>
      </c>
      <c r="J70" s="40">
        <f t="shared" si="5"/>
        <v>0</v>
      </c>
      <c r="K70" s="40">
        <f t="shared" si="5"/>
        <v>0</v>
      </c>
      <c r="L70" s="40">
        <f t="shared" si="5"/>
        <v>0</v>
      </c>
      <c r="M70" s="40">
        <f t="shared" si="5"/>
        <v>0</v>
      </c>
      <c r="N70" s="40">
        <f t="shared" si="5"/>
        <v>0</v>
      </c>
      <c r="O70" s="40">
        <f t="shared" si="5"/>
        <v>0</v>
      </c>
      <c r="P70" s="40">
        <f t="shared" si="5"/>
        <v>0</v>
      </c>
      <c r="Q70" s="40">
        <f t="shared" si="5"/>
        <v>0</v>
      </c>
      <c r="R70" s="40">
        <f t="shared" si="5"/>
        <v>0</v>
      </c>
      <c r="S70" s="40">
        <f t="shared" si="5"/>
        <v>0</v>
      </c>
      <c r="T70" s="40">
        <f t="shared" si="5"/>
        <v>0</v>
      </c>
      <c r="U70" s="40">
        <f t="shared" si="5"/>
        <v>0</v>
      </c>
      <c r="V70" s="40">
        <f t="shared" si="5"/>
        <v>0</v>
      </c>
      <c r="W70" s="40">
        <f t="shared" si="5"/>
        <v>0</v>
      </c>
      <c r="X70" s="40">
        <f t="shared" si="5"/>
        <v>0</v>
      </c>
      <c r="Y70" s="40">
        <f t="shared" si="5"/>
        <v>0</v>
      </c>
      <c r="Z70" s="40">
        <f t="shared" si="5"/>
        <v>0</v>
      </c>
      <c r="AA70" s="40">
        <f t="shared" si="5"/>
        <v>0</v>
      </c>
      <c r="AB70" s="40">
        <f t="shared" si="5"/>
        <v>0</v>
      </c>
      <c r="AC70" s="40">
        <f>AC71+AC78+AC84+AC88+AC95+AC104+AC107+AC112+AC114+AC117+AC118+AC121+AC124</f>
        <v>49618854.68</v>
      </c>
      <c r="AD70" s="34">
        <f>AE70</f>
        <v>2200000</v>
      </c>
      <c r="AE70" s="65">
        <f>AE95+AE107</f>
        <v>2200000</v>
      </c>
      <c r="AF70" s="40">
        <f>AF71+AF78+AF84+AF88+AF95+AF104+AF107+AF112+AF114+AF117+AF118+AF121+AF124</f>
        <v>27620396.93</v>
      </c>
      <c r="AG70" s="76">
        <f t="shared" si="2"/>
        <v>53.3018282641827</v>
      </c>
    </row>
    <row r="71" spans="1:33" ht="27.75">
      <c r="A71" s="9" t="s">
        <v>115</v>
      </c>
      <c r="B71" s="55" t="s">
        <v>18</v>
      </c>
      <c r="C71" s="41">
        <f>SUM(C72:C77)</f>
        <v>17834496.89</v>
      </c>
      <c r="D71" s="41">
        <f aca="true" t="shared" si="6" ref="D71:AB71">SUM(D72:D77)</f>
        <v>0</v>
      </c>
      <c r="E71" s="41">
        <f t="shared" si="6"/>
        <v>0</v>
      </c>
      <c r="F71" s="41">
        <f t="shared" si="6"/>
        <v>0</v>
      </c>
      <c r="G71" s="41">
        <f t="shared" si="6"/>
        <v>0</v>
      </c>
      <c r="H71" s="41">
        <f t="shared" si="6"/>
        <v>0</v>
      </c>
      <c r="I71" s="41">
        <f t="shared" si="6"/>
        <v>0</v>
      </c>
      <c r="J71" s="41">
        <f t="shared" si="6"/>
        <v>0</v>
      </c>
      <c r="K71" s="41">
        <f t="shared" si="6"/>
        <v>0</v>
      </c>
      <c r="L71" s="41">
        <f t="shared" si="6"/>
        <v>0</v>
      </c>
      <c r="M71" s="41">
        <f t="shared" si="6"/>
        <v>0</v>
      </c>
      <c r="N71" s="41">
        <f t="shared" si="6"/>
        <v>0</v>
      </c>
      <c r="O71" s="41">
        <f t="shared" si="6"/>
        <v>0</v>
      </c>
      <c r="P71" s="41">
        <f t="shared" si="6"/>
        <v>0</v>
      </c>
      <c r="Q71" s="41">
        <f t="shared" si="6"/>
        <v>0</v>
      </c>
      <c r="R71" s="41">
        <f t="shared" si="6"/>
        <v>0</v>
      </c>
      <c r="S71" s="41">
        <f t="shared" si="6"/>
        <v>0</v>
      </c>
      <c r="T71" s="41">
        <f t="shared" si="6"/>
        <v>0</v>
      </c>
      <c r="U71" s="41">
        <f t="shared" si="6"/>
        <v>0</v>
      </c>
      <c r="V71" s="41">
        <f t="shared" si="6"/>
        <v>0</v>
      </c>
      <c r="W71" s="41">
        <f t="shared" si="6"/>
        <v>0</v>
      </c>
      <c r="X71" s="41">
        <f t="shared" si="6"/>
        <v>0</v>
      </c>
      <c r="Y71" s="41">
        <f t="shared" si="6"/>
        <v>0</v>
      </c>
      <c r="Z71" s="41">
        <f t="shared" si="6"/>
        <v>0</v>
      </c>
      <c r="AA71" s="41">
        <f t="shared" si="6"/>
        <v>0</v>
      </c>
      <c r="AB71" s="41">
        <f t="shared" si="6"/>
        <v>0</v>
      </c>
      <c r="AC71" s="41">
        <f>C71</f>
        <v>17834496.89</v>
      </c>
      <c r="AD71" s="15"/>
      <c r="AE71" s="66"/>
      <c r="AF71" s="90">
        <f>SUM(AF72:AF77)</f>
        <v>10947752.190000001</v>
      </c>
      <c r="AG71" s="79">
        <f t="shared" si="2"/>
        <v>61.38525946385697</v>
      </c>
    </row>
    <row r="72" spans="1:33" ht="13.5">
      <c r="A72" s="9"/>
      <c r="B72" s="56" t="s">
        <v>65</v>
      </c>
      <c r="C72" s="42">
        <f>5410577-4100000-230979.51-80100-115500-144390</f>
        <v>739607.49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 aca="true" t="shared" si="7" ref="AC72:AC124">C72</f>
        <v>739607.49</v>
      </c>
      <c r="AD72" s="16"/>
      <c r="AE72" s="66"/>
      <c r="AF72" s="91">
        <v>711836.19</v>
      </c>
      <c r="AG72" s="80">
        <f t="shared" si="2"/>
        <v>96.24512996751831</v>
      </c>
    </row>
    <row r="73" spans="1:33" ht="27.75">
      <c r="A73" s="9"/>
      <c r="B73" s="56" t="s">
        <v>134</v>
      </c>
      <c r="C73" s="42">
        <f>4100000-50000</f>
        <v>4050000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>C73</f>
        <v>4050000</v>
      </c>
      <c r="AD73" s="16"/>
      <c r="AE73" s="66"/>
      <c r="AF73" s="92">
        <f>455000+314965+130620+343290+97715+339580+98470+273260+131835</f>
        <v>2184735</v>
      </c>
      <c r="AG73" s="80">
        <f t="shared" si="2"/>
        <v>53.94407407407408</v>
      </c>
    </row>
    <row r="74" spans="1:33" ht="13.5">
      <c r="A74" s="9"/>
      <c r="B74" s="56" t="s">
        <v>64</v>
      </c>
      <c r="C74" s="42">
        <v>10280421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10280421</v>
      </c>
      <c r="AD74" s="16"/>
      <c r="AE74" s="66"/>
      <c r="AF74" s="91">
        <f>2365770.77+938491.55+624657.88+597865.39+521903.53+454645.44+638736.55</f>
        <v>6142071.11</v>
      </c>
      <c r="AG74" s="80">
        <f t="shared" si="2"/>
        <v>59.745326674851164</v>
      </c>
    </row>
    <row r="75" spans="1:33" ht="27.75">
      <c r="A75" s="9"/>
      <c r="B75" s="56" t="s">
        <v>43</v>
      </c>
      <c r="C75" s="42">
        <f>652567+77756.4</f>
        <v>730323.4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730323.4</v>
      </c>
      <c r="AD75" s="16"/>
      <c r="AE75" s="66"/>
      <c r="AF75" s="92">
        <f>46671+2500+4491+51671+51162+4491+2500+46671+4491+46671+4491+46671+5000+24687+4491+30677+2500+4491+24868.9+30677+24866.9+4491+2500+30677</f>
        <v>502407.80000000005</v>
      </c>
      <c r="AG75" s="80">
        <f t="shared" si="2"/>
        <v>68.79251027695402</v>
      </c>
    </row>
    <row r="76" spans="1:33" ht="27.75">
      <c r="A76" s="9"/>
      <c r="B76" s="56" t="s">
        <v>30</v>
      </c>
      <c r="C76" s="42">
        <f>672025.28+359929.72</f>
        <v>1031955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1031955</v>
      </c>
      <c r="AD76" s="16"/>
      <c r="AE76" s="66"/>
      <c r="AF76" s="92">
        <f>124086+55244.7+44251+76234+44251+44251+38355+47346.24+49686+38383.46+11048.23+45153+35304.93+51458.35</f>
        <v>705052.91</v>
      </c>
      <c r="AG76" s="80">
        <f t="shared" si="2"/>
        <v>68.32205958593156</v>
      </c>
    </row>
    <row r="77" spans="1:33" ht="13.5">
      <c r="A77" s="9"/>
      <c r="B77" s="56" t="s">
        <v>37</v>
      </c>
      <c r="C77" s="42">
        <v>1002190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2">
        <f t="shared" si="7"/>
        <v>1002190</v>
      </c>
      <c r="AD77" s="16"/>
      <c r="AE77" s="66"/>
      <c r="AF77" s="119">
        <f>165541.2+86398.21+87668.42+90307.93+90518.03+90297.32+90918.07</f>
        <v>701649.1800000002</v>
      </c>
      <c r="AG77" s="80">
        <f t="shared" si="2"/>
        <v>70.01159261217934</v>
      </c>
    </row>
    <row r="78" spans="1:33" ht="13.5">
      <c r="A78" s="9" t="s">
        <v>116</v>
      </c>
      <c r="B78" s="55" t="s">
        <v>3</v>
      </c>
      <c r="C78" s="41">
        <f>SUM(C79:C83)</f>
        <v>7200846.1</v>
      </c>
      <c r="D78" s="41">
        <f aca="true" t="shared" si="8" ref="D78:AB78">SUM(D79:D83)</f>
        <v>0</v>
      </c>
      <c r="E78" s="41">
        <f t="shared" si="8"/>
        <v>0</v>
      </c>
      <c r="F78" s="41">
        <f t="shared" si="8"/>
        <v>0</v>
      </c>
      <c r="G78" s="41">
        <f t="shared" si="8"/>
        <v>0</v>
      </c>
      <c r="H78" s="41">
        <f t="shared" si="8"/>
        <v>0</v>
      </c>
      <c r="I78" s="41">
        <f t="shared" si="8"/>
        <v>0</v>
      </c>
      <c r="J78" s="41">
        <f t="shared" si="8"/>
        <v>0</v>
      </c>
      <c r="K78" s="41">
        <f t="shared" si="8"/>
        <v>0</v>
      </c>
      <c r="L78" s="41">
        <f t="shared" si="8"/>
        <v>0</v>
      </c>
      <c r="M78" s="41">
        <f t="shared" si="8"/>
        <v>0</v>
      </c>
      <c r="N78" s="41">
        <f t="shared" si="8"/>
        <v>0</v>
      </c>
      <c r="O78" s="41">
        <f t="shared" si="8"/>
        <v>0</v>
      </c>
      <c r="P78" s="41">
        <f t="shared" si="8"/>
        <v>0</v>
      </c>
      <c r="Q78" s="41">
        <f t="shared" si="8"/>
        <v>0</v>
      </c>
      <c r="R78" s="41">
        <f t="shared" si="8"/>
        <v>0</v>
      </c>
      <c r="S78" s="41">
        <f t="shared" si="8"/>
        <v>0</v>
      </c>
      <c r="T78" s="41">
        <f t="shared" si="8"/>
        <v>0</v>
      </c>
      <c r="U78" s="41">
        <f t="shared" si="8"/>
        <v>0</v>
      </c>
      <c r="V78" s="41">
        <f t="shared" si="8"/>
        <v>0</v>
      </c>
      <c r="W78" s="41">
        <f t="shared" si="8"/>
        <v>0</v>
      </c>
      <c r="X78" s="41">
        <f t="shared" si="8"/>
        <v>0</v>
      </c>
      <c r="Y78" s="41">
        <f t="shared" si="8"/>
        <v>0</v>
      </c>
      <c r="Z78" s="41">
        <f t="shared" si="8"/>
        <v>0</v>
      </c>
      <c r="AA78" s="41">
        <f t="shared" si="8"/>
        <v>0</v>
      </c>
      <c r="AB78" s="41">
        <f t="shared" si="8"/>
        <v>0</v>
      </c>
      <c r="AC78" s="41">
        <f t="shared" si="7"/>
        <v>7200846.1</v>
      </c>
      <c r="AD78" s="15"/>
      <c r="AE78" s="66"/>
      <c r="AF78" s="90">
        <f>SUM(AF79:AF83)</f>
        <v>4776232.02</v>
      </c>
      <c r="AG78" s="79">
        <f t="shared" si="2"/>
        <v>66.32876128264982</v>
      </c>
    </row>
    <row r="79" spans="1:33" ht="13.5">
      <c r="A79" s="9"/>
      <c r="B79" s="56" t="s">
        <v>38</v>
      </c>
      <c r="C79" s="42">
        <v>2402265.73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2402265.73</v>
      </c>
      <c r="AD79" s="16"/>
      <c r="AE79" s="66"/>
      <c r="AF79" s="91">
        <f>195156+87000+174330+87000+260160+58000+70200+58000+139245.91+87000</f>
        <v>1216091.91</v>
      </c>
      <c r="AG79" s="80">
        <f t="shared" si="2"/>
        <v>50.62270567378072</v>
      </c>
    </row>
    <row r="80" spans="1:33" ht="13.5">
      <c r="A80" s="9"/>
      <c r="B80" s="56" t="s">
        <v>4</v>
      </c>
      <c r="C80" s="42">
        <v>380000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380000</v>
      </c>
      <c r="AD80" s="16"/>
      <c r="AE80" s="66"/>
      <c r="AF80" s="91">
        <f>135000+33750+27090+11457+172700</f>
        <v>379997</v>
      </c>
      <c r="AG80" s="80">
        <f t="shared" si="2"/>
        <v>99.99921052631578</v>
      </c>
    </row>
    <row r="81" spans="1:33" ht="13.5">
      <c r="A81" s="9"/>
      <c r="B81" s="56" t="s">
        <v>39</v>
      </c>
      <c r="C81" s="42">
        <v>200000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200000</v>
      </c>
      <c r="AD81" s="16"/>
      <c r="AE81" s="66"/>
      <c r="AF81" s="91">
        <f>33207.3+33207.3+33207.3+33207.3</f>
        <v>132829.2</v>
      </c>
      <c r="AG81" s="80">
        <f t="shared" si="2"/>
        <v>66.41460000000001</v>
      </c>
    </row>
    <row r="82" spans="1:33" ht="13.5">
      <c r="A82" s="9"/>
      <c r="B82" s="56" t="s">
        <v>40</v>
      </c>
      <c r="C82" s="42">
        <v>291480.84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291480.84</v>
      </c>
      <c r="AD82" s="16"/>
      <c r="AE82" s="66"/>
      <c r="AF82" s="91">
        <f>45550+62000+60735+53619.08+69575</f>
        <v>291479.08</v>
      </c>
      <c r="AG82" s="80">
        <f aca="true" t="shared" si="9" ref="AG82:AG135">AF82/C82*100</f>
        <v>99.99939618672705</v>
      </c>
    </row>
    <row r="83" spans="1:33" ht="44.25" customHeight="1">
      <c r="A83" s="9"/>
      <c r="B83" s="56" t="s">
        <v>41</v>
      </c>
      <c r="C83" s="42">
        <v>3927099.53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2">
        <f t="shared" si="7"/>
        <v>3927099.53</v>
      </c>
      <c r="AD83" s="16"/>
      <c r="AE83" s="66"/>
      <c r="AF83" s="92">
        <f>1017646.61+44880+126065.55+74837.4+57228.6+90245.1+212678.65+329120+256886.6+76800+92446.2+255516.22+121483.9</f>
        <v>2755834.83</v>
      </c>
      <c r="AG83" s="80">
        <f t="shared" si="9"/>
        <v>70.17481499889564</v>
      </c>
    </row>
    <row r="84" spans="1:33" ht="27.75">
      <c r="A84" s="9" t="s">
        <v>117</v>
      </c>
      <c r="B84" s="55" t="s">
        <v>5</v>
      </c>
      <c r="C84" s="41">
        <f>SUM(C85:C87)</f>
        <v>1849469.0899999999</v>
      </c>
      <c r="D84" s="41">
        <f aca="true" t="shared" si="10" ref="D84:AB84">SUM(D85:D87)</f>
        <v>0</v>
      </c>
      <c r="E84" s="41">
        <f t="shared" si="10"/>
        <v>0</v>
      </c>
      <c r="F84" s="41">
        <f t="shared" si="10"/>
        <v>0</v>
      </c>
      <c r="G84" s="41">
        <f t="shared" si="10"/>
        <v>0</v>
      </c>
      <c r="H84" s="41">
        <f t="shared" si="10"/>
        <v>0</v>
      </c>
      <c r="I84" s="41">
        <f t="shared" si="10"/>
        <v>0</v>
      </c>
      <c r="J84" s="41">
        <f t="shared" si="10"/>
        <v>0</v>
      </c>
      <c r="K84" s="41">
        <f t="shared" si="10"/>
        <v>0</v>
      </c>
      <c r="L84" s="41">
        <f t="shared" si="10"/>
        <v>0</v>
      </c>
      <c r="M84" s="41">
        <f t="shared" si="10"/>
        <v>0</v>
      </c>
      <c r="N84" s="41">
        <f t="shared" si="10"/>
        <v>0</v>
      </c>
      <c r="O84" s="41">
        <f t="shared" si="10"/>
        <v>0</v>
      </c>
      <c r="P84" s="41">
        <f t="shared" si="10"/>
        <v>0</v>
      </c>
      <c r="Q84" s="41">
        <f t="shared" si="10"/>
        <v>0</v>
      </c>
      <c r="R84" s="41">
        <f t="shared" si="10"/>
        <v>0</v>
      </c>
      <c r="S84" s="41">
        <f t="shared" si="10"/>
        <v>0</v>
      </c>
      <c r="T84" s="41">
        <f t="shared" si="10"/>
        <v>0</v>
      </c>
      <c r="U84" s="41">
        <f t="shared" si="10"/>
        <v>0</v>
      </c>
      <c r="V84" s="41">
        <f t="shared" si="10"/>
        <v>0</v>
      </c>
      <c r="W84" s="41">
        <f t="shared" si="10"/>
        <v>0</v>
      </c>
      <c r="X84" s="41">
        <f t="shared" si="10"/>
        <v>0</v>
      </c>
      <c r="Y84" s="41">
        <f t="shared" si="10"/>
        <v>0</v>
      </c>
      <c r="Z84" s="41">
        <f t="shared" si="10"/>
        <v>0</v>
      </c>
      <c r="AA84" s="41">
        <f t="shared" si="10"/>
        <v>0</v>
      </c>
      <c r="AB84" s="41">
        <f t="shared" si="10"/>
        <v>0</v>
      </c>
      <c r="AC84" s="41">
        <f t="shared" si="7"/>
        <v>1849469.0899999999</v>
      </c>
      <c r="AD84" s="15"/>
      <c r="AE84" s="66"/>
      <c r="AF84" s="90">
        <f>SUM(AF85:AF87)</f>
        <v>1094034.95</v>
      </c>
      <c r="AG84" s="79">
        <f t="shared" si="9"/>
        <v>59.15400024338877</v>
      </c>
    </row>
    <row r="85" spans="1:33" ht="13.5">
      <c r="A85" s="9"/>
      <c r="B85" s="56" t="s">
        <v>56</v>
      </c>
      <c r="C85" s="42">
        <v>1271166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1271166</v>
      </c>
      <c r="AD85" s="16"/>
      <c r="AE85" s="66"/>
      <c r="AF85" s="91">
        <f>581281.86-183335.28+134873.07+214611.3+117069.05</f>
        <v>864500</v>
      </c>
      <c r="AG85" s="80">
        <f t="shared" si="9"/>
        <v>68.00842690883803</v>
      </c>
    </row>
    <row r="86" spans="1:33" ht="13.5">
      <c r="A86" s="9"/>
      <c r="B86" s="56" t="s">
        <v>57</v>
      </c>
      <c r="C86" s="42">
        <v>157394.69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157394.69</v>
      </c>
      <c r="AD86" s="16"/>
      <c r="AE86" s="66"/>
      <c r="AF86" s="91">
        <f>32355.65+32355.65+32355.65</f>
        <v>97066.95000000001</v>
      </c>
      <c r="AG86" s="80">
        <f t="shared" si="9"/>
        <v>61.67104493804716</v>
      </c>
    </row>
    <row r="87" spans="1:33" ht="13.5">
      <c r="A87" s="9"/>
      <c r="B87" s="56" t="s">
        <v>58</v>
      </c>
      <c r="C87" s="42">
        <v>420908.4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2">
        <f t="shared" si="7"/>
        <v>420908.4</v>
      </c>
      <c r="AD87" s="16"/>
      <c r="AE87" s="66"/>
      <c r="AF87" s="91">
        <f>31498.87+32966.8+33642.28+34360.05</f>
        <v>132468</v>
      </c>
      <c r="AG87" s="80">
        <f t="shared" si="9"/>
        <v>31.471930709864665</v>
      </c>
    </row>
    <row r="88" spans="1:33" ht="13.5">
      <c r="A88" s="9" t="s">
        <v>118</v>
      </c>
      <c r="B88" s="55" t="s">
        <v>42</v>
      </c>
      <c r="C88" s="41">
        <f>SUM(C89:C94)</f>
        <v>3528133.06</v>
      </c>
      <c r="D88" s="41">
        <f aca="true" t="shared" si="11" ref="D88:AB88">SUM(D89:D94)</f>
        <v>0</v>
      </c>
      <c r="E88" s="41">
        <f t="shared" si="11"/>
        <v>0</v>
      </c>
      <c r="F88" s="41">
        <f t="shared" si="11"/>
        <v>0</v>
      </c>
      <c r="G88" s="41">
        <f t="shared" si="11"/>
        <v>0</v>
      </c>
      <c r="H88" s="41">
        <f t="shared" si="11"/>
        <v>0</v>
      </c>
      <c r="I88" s="41">
        <f t="shared" si="11"/>
        <v>0</v>
      </c>
      <c r="J88" s="41">
        <f t="shared" si="11"/>
        <v>0</v>
      </c>
      <c r="K88" s="41">
        <f t="shared" si="11"/>
        <v>0</v>
      </c>
      <c r="L88" s="41">
        <f t="shared" si="11"/>
        <v>0</v>
      </c>
      <c r="M88" s="41">
        <f t="shared" si="11"/>
        <v>0</v>
      </c>
      <c r="N88" s="41">
        <f t="shared" si="11"/>
        <v>0</v>
      </c>
      <c r="O88" s="41">
        <f t="shared" si="11"/>
        <v>0</v>
      </c>
      <c r="P88" s="41">
        <f t="shared" si="11"/>
        <v>0</v>
      </c>
      <c r="Q88" s="41">
        <f t="shared" si="11"/>
        <v>0</v>
      </c>
      <c r="R88" s="41">
        <f t="shared" si="11"/>
        <v>0</v>
      </c>
      <c r="S88" s="41">
        <f t="shared" si="11"/>
        <v>0</v>
      </c>
      <c r="T88" s="41">
        <f t="shared" si="11"/>
        <v>0</v>
      </c>
      <c r="U88" s="41">
        <f t="shared" si="11"/>
        <v>0</v>
      </c>
      <c r="V88" s="41">
        <f t="shared" si="11"/>
        <v>0</v>
      </c>
      <c r="W88" s="41">
        <f t="shared" si="11"/>
        <v>0</v>
      </c>
      <c r="X88" s="41">
        <f t="shared" si="11"/>
        <v>0</v>
      </c>
      <c r="Y88" s="41">
        <f t="shared" si="11"/>
        <v>0</v>
      </c>
      <c r="Z88" s="41">
        <f t="shared" si="11"/>
        <v>0</v>
      </c>
      <c r="AA88" s="41">
        <f t="shared" si="11"/>
        <v>0</v>
      </c>
      <c r="AB88" s="41">
        <f t="shared" si="11"/>
        <v>0</v>
      </c>
      <c r="AC88" s="41">
        <f t="shared" si="7"/>
        <v>3528133.06</v>
      </c>
      <c r="AD88" s="15"/>
      <c r="AE88" s="66"/>
      <c r="AF88" s="90">
        <f>SUM(AF89:AF94)</f>
        <v>2000631.7299999997</v>
      </c>
      <c r="AG88" s="78">
        <f t="shared" si="9"/>
        <v>56.705109925757725</v>
      </c>
    </row>
    <row r="89" spans="1:33" ht="27.75" customHeight="1">
      <c r="A89" s="9"/>
      <c r="B89" s="56" t="s">
        <v>8</v>
      </c>
      <c r="C89" s="42">
        <v>2415287.11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2415287.11</v>
      </c>
      <c r="AD89" s="16"/>
      <c r="AE89" s="66"/>
      <c r="AF89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</f>
        <v>1306942.9099999997</v>
      </c>
      <c r="AG89" s="78">
        <f t="shared" si="9"/>
        <v>54.11128575931495</v>
      </c>
    </row>
    <row r="90" spans="1:33" ht="46.5" customHeight="1">
      <c r="A90" s="9"/>
      <c r="B90" s="56" t="s">
        <v>9</v>
      </c>
      <c r="C90" s="42">
        <f>781200+180067</f>
        <v>961267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961267</v>
      </c>
      <c r="AD90" s="16"/>
      <c r="AE90" s="66"/>
      <c r="AF90" s="92">
        <f>129802.78+45117.28+9925.9+16132.5+3549.15+50156.48+11034.42+6420+19681.65+42614.5+9375.19+7351.6+8800+22346.5+4916.23+3005.6+40594.85+8930.87+26290+5783.8+42618.43+9398.54+20315+4469.3+39444.64+8671.01+25095+5520.9</f>
        <v>627362.12</v>
      </c>
      <c r="AG90" s="80">
        <f t="shared" si="9"/>
        <v>65.26408583671342</v>
      </c>
    </row>
    <row r="91" spans="1:33" ht="33.75" customHeight="1">
      <c r="A91" s="9"/>
      <c r="B91" s="56" t="s">
        <v>171</v>
      </c>
      <c r="C91" s="42">
        <v>35000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35000</v>
      </c>
      <c r="AD91" s="16"/>
      <c r="AE91" s="66"/>
      <c r="AF91" s="92">
        <v>34981</v>
      </c>
      <c r="AG91" s="80">
        <f t="shared" si="9"/>
        <v>99.94571428571429</v>
      </c>
    </row>
    <row r="92" spans="1:33" ht="24.75" customHeight="1">
      <c r="A92" s="9"/>
      <c r="B92" s="56" t="s">
        <v>172</v>
      </c>
      <c r="C92" s="42">
        <v>44778.95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44778.95</v>
      </c>
      <c r="AD92" s="16"/>
      <c r="AE92" s="66"/>
      <c r="AF92" s="92"/>
      <c r="AG92" s="80">
        <f t="shared" si="9"/>
        <v>0</v>
      </c>
    </row>
    <row r="93" spans="1:33" ht="13.5">
      <c r="A93" s="9"/>
      <c r="B93" s="56" t="s">
        <v>59</v>
      </c>
      <c r="C93" s="42">
        <v>39700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39700</v>
      </c>
      <c r="AD93" s="16"/>
      <c r="AE93" s="66"/>
      <c r="AF93" s="91">
        <f>7534.82+5001.66+5251.05+4496.36+3259.78</f>
        <v>25543.67</v>
      </c>
      <c r="AG93" s="80">
        <f t="shared" si="9"/>
        <v>64.34173803526448</v>
      </c>
    </row>
    <row r="94" spans="1:33" ht="13.5">
      <c r="A94" s="9"/>
      <c r="B94" s="56" t="s">
        <v>60</v>
      </c>
      <c r="C94" s="42">
        <v>32100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2">
        <f t="shared" si="7"/>
        <v>32100</v>
      </c>
      <c r="AD94" s="33"/>
      <c r="AE94" s="67"/>
      <c r="AF94" s="91">
        <f>1230.14+830.15+486.74+512.5+803.51+898.5+1040.49</f>
        <v>5802.03</v>
      </c>
      <c r="AG94" s="80">
        <f t="shared" si="9"/>
        <v>18.074859813084114</v>
      </c>
    </row>
    <row r="95" spans="1:33" ht="13.5">
      <c r="A95" s="9" t="s">
        <v>119</v>
      </c>
      <c r="B95" s="55" t="s">
        <v>6</v>
      </c>
      <c r="C95" s="41">
        <f>AC95+AD95</f>
        <v>5100000</v>
      </c>
      <c r="D95" s="41">
        <f aca="true" t="shared" si="12" ref="D95:AB95">SUM(D96:D102)</f>
        <v>0</v>
      </c>
      <c r="E95" s="41">
        <f t="shared" si="12"/>
        <v>0</v>
      </c>
      <c r="F95" s="41">
        <f t="shared" si="12"/>
        <v>0</v>
      </c>
      <c r="G95" s="41">
        <f t="shared" si="12"/>
        <v>0</v>
      </c>
      <c r="H95" s="41">
        <f t="shared" si="12"/>
        <v>0</v>
      </c>
      <c r="I95" s="41">
        <f t="shared" si="12"/>
        <v>0</v>
      </c>
      <c r="J95" s="41">
        <f t="shared" si="12"/>
        <v>0</v>
      </c>
      <c r="K95" s="41">
        <f t="shared" si="12"/>
        <v>0</v>
      </c>
      <c r="L95" s="41">
        <f t="shared" si="12"/>
        <v>0</v>
      </c>
      <c r="M95" s="41">
        <f t="shared" si="12"/>
        <v>0</v>
      </c>
      <c r="N95" s="41">
        <f t="shared" si="12"/>
        <v>0</v>
      </c>
      <c r="O95" s="41">
        <f t="shared" si="12"/>
        <v>0</v>
      </c>
      <c r="P95" s="41">
        <f t="shared" si="12"/>
        <v>0</v>
      </c>
      <c r="Q95" s="41">
        <f t="shared" si="12"/>
        <v>0</v>
      </c>
      <c r="R95" s="41">
        <f t="shared" si="12"/>
        <v>0</v>
      </c>
      <c r="S95" s="41">
        <f t="shared" si="12"/>
        <v>0</v>
      </c>
      <c r="T95" s="41">
        <f t="shared" si="12"/>
        <v>0</v>
      </c>
      <c r="U95" s="41">
        <f t="shared" si="12"/>
        <v>0</v>
      </c>
      <c r="V95" s="41">
        <f t="shared" si="12"/>
        <v>0</v>
      </c>
      <c r="W95" s="41">
        <f t="shared" si="12"/>
        <v>0</v>
      </c>
      <c r="X95" s="41">
        <f t="shared" si="12"/>
        <v>0</v>
      </c>
      <c r="Y95" s="41">
        <f t="shared" si="12"/>
        <v>0</v>
      </c>
      <c r="Z95" s="41">
        <f t="shared" si="12"/>
        <v>0</v>
      </c>
      <c r="AA95" s="41">
        <f t="shared" si="12"/>
        <v>0</v>
      </c>
      <c r="AB95" s="41">
        <f t="shared" si="12"/>
        <v>0</v>
      </c>
      <c r="AC95" s="41">
        <f>AC96+AC97+AC98+AC99+AC103</f>
        <v>3600000</v>
      </c>
      <c r="AD95" s="35">
        <f>AD96+AD97+AD98+AD99</f>
        <v>1500000</v>
      </c>
      <c r="AE95" s="68">
        <f>AD95</f>
        <v>1500000</v>
      </c>
      <c r="AF95" s="90">
        <f>AF99</f>
        <v>99727.2</v>
      </c>
      <c r="AG95" s="79">
        <f t="shared" si="9"/>
        <v>1.9554352941176472</v>
      </c>
    </row>
    <row r="96" spans="1:33" ht="13.5" hidden="1">
      <c r="A96" s="9"/>
      <c r="B96" s="56" t="s">
        <v>10</v>
      </c>
      <c r="C96" s="42">
        <f>19422023.54+229670.1-19000000-651693.64</f>
        <v>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 t="shared" si="7"/>
        <v>0</v>
      </c>
      <c r="AD96" s="33"/>
      <c r="AE96" s="69"/>
      <c r="AF96" s="91"/>
      <c r="AG96" s="80" t="e">
        <f t="shared" si="9"/>
        <v>#DIV/0!</v>
      </c>
    </row>
    <row r="97" spans="1:33" ht="13.5">
      <c r="A97" s="9"/>
      <c r="B97" s="56" t="s">
        <v>7</v>
      </c>
      <c r="C97" s="42">
        <v>1000000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>
        <f>C97</f>
        <v>1000000</v>
      </c>
      <c r="AD97" s="33"/>
      <c r="AE97" s="69"/>
      <c r="AF97" s="91"/>
      <c r="AG97" s="80">
        <f t="shared" si="9"/>
        <v>0</v>
      </c>
    </row>
    <row r="98" spans="1:33" ht="13.5">
      <c r="A98" s="9"/>
      <c r="B98" s="57" t="s">
        <v>112</v>
      </c>
      <c r="C98" s="42">
        <f>AD98</f>
        <v>1500000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/>
      <c r="AD98" s="44">
        <v>1500000</v>
      </c>
      <c r="AE98" s="70">
        <f>AD98</f>
        <v>1500000</v>
      </c>
      <c r="AF98" s="91"/>
      <c r="AG98" s="80">
        <f t="shared" si="9"/>
        <v>0</v>
      </c>
    </row>
    <row r="99" spans="1:33" ht="18" customHeight="1">
      <c r="A99" s="9"/>
      <c r="B99" s="58" t="s">
        <v>130</v>
      </c>
      <c r="C99" s="42">
        <f>AC99</f>
        <v>100000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>
        <v>100000</v>
      </c>
      <c r="AD99" s="33"/>
      <c r="AE99" s="69"/>
      <c r="AF99" s="91">
        <v>99727.2</v>
      </c>
      <c r="AG99" s="80">
        <f t="shared" si="9"/>
        <v>99.7272</v>
      </c>
    </row>
    <row r="100" spans="1:33" ht="13.5" customHeight="1" hidden="1">
      <c r="A100" s="9"/>
      <c r="B100" s="57"/>
      <c r="C100" s="42">
        <f>AC100</f>
        <v>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2"/>
      <c r="AD100" s="44"/>
      <c r="AE100" s="70"/>
      <c r="AF100" s="93"/>
      <c r="AG100" s="80" t="e">
        <f t="shared" si="9"/>
        <v>#DIV/0!</v>
      </c>
    </row>
    <row r="101" spans="1:33" ht="14.25" customHeight="1" hidden="1" thickBot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 hidden="1">
      <c r="A102" s="9"/>
      <c r="B102" s="56"/>
      <c r="C102" s="42">
        <f>AC102</f>
        <v>100000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1">
        <f t="shared" si="7"/>
        <v>0</v>
      </c>
      <c r="AD102" s="45"/>
      <c r="AE102" s="67"/>
      <c r="AF102" s="93"/>
      <c r="AG102" s="80">
        <f t="shared" si="9"/>
        <v>99.7272</v>
      </c>
    </row>
    <row r="103" spans="1:33" ht="13.5" customHeight="1">
      <c r="A103" s="9"/>
      <c r="B103" s="56" t="s">
        <v>212</v>
      </c>
      <c r="C103" s="42">
        <f>AC103</f>
        <v>2500000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42">
        <v>2500000</v>
      </c>
      <c r="AD103" s="45"/>
      <c r="AE103" s="67"/>
      <c r="AF103" s="93"/>
      <c r="AG103" s="80">
        <f t="shared" si="9"/>
        <v>0</v>
      </c>
    </row>
    <row r="104" spans="1:33" ht="29.25" customHeight="1">
      <c r="A104" s="9" t="s">
        <v>120</v>
      </c>
      <c r="B104" s="55" t="s">
        <v>165</v>
      </c>
      <c r="C104" s="41">
        <f>SUM(C105:C106)</f>
        <v>331841.32</v>
      </c>
      <c r="D104" s="41">
        <f aca="true" t="shared" si="13" ref="D104:AB104">SUM(D105:D106)</f>
        <v>0</v>
      </c>
      <c r="E104" s="41">
        <f t="shared" si="13"/>
        <v>0</v>
      </c>
      <c r="F104" s="41">
        <f t="shared" si="13"/>
        <v>0</v>
      </c>
      <c r="G104" s="41">
        <f t="shared" si="13"/>
        <v>0</v>
      </c>
      <c r="H104" s="41">
        <f t="shared" si="13"/>
        <v>0</v>
      </c>
      <c r="I104" s="41">
        <f t="shared" si="13"/>
        <v>0</v>
      </c>
      <c r="J104" s="41">
        <f t="shared" si="13"/>
        <v>0</v>
      </c>
      <c r="K104" s="41">
        <f t="shared" si="13"/>
        <v>0</v>
      </c>
      <c r="L104" s="41">
        <f t="shared" si="13"/>
        <v>0</v>
      </c>
      <c r="M104" s="41">
        <f t="shared" si="13"/>
        <v>0</v>
      </c>
      <c r="N104" s="41">
        <f t="shared" si="13"/>
        <v>0</v>
      </c>
      <c r="O104" s="41">
        <f t="shared" si="13"/>
        <v>0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41">
        <f t="shared" si="13"/>
        <v>0</v>
      </c>
      <c r="T104" s="41">
        <f t="shared" si="13"/>
        <v>0</v>
      </c>
      <c r="U104" s="41">
        <f t="shared" si="13"/>
        <v>0</v>
      </c>
      <c r="V104" s="41">
        <f t="shared" si="13"/>
        <v>0</v>
      </c>
      <c r="W104" s="41">
        <f t="shared" si="13"/>
        <v>0</v>
      </c>
      <c r="X104" s="41">
        <f t="shared" si="13"/>
        <v>0</v>
      </c>
      <c r="Y104" s="41">
        <f t="shared" si="13"/>
        <v>0</v>
      </c>
      <c r="Z104" s="41">
        <f t="shared" si="13"/>
        <v>0</v>
      </c>
      <c r="AA104" s="41">
        <f t="shared" si="13"/>
        <v>0</v>
      </c>
      <c r="AB104" s="41">
        <f t="shared" si="13"/>
        <v>0</v>
      </c>
      <c r="AC104" s="41">
        <f t="shared" si="7"/>
        <v>331841.32</v>
      </c>
      <c r="AD104" s="46"/>
      <c r="AE104" s="67"/>
      <c r="AF104" s="90">
        <f>SUM(AF105:AF106)</f>
        <v>274401.82999999996</v>
      </c>
      <c r="AG104" s="80">
        <f t="shared" si="9"/>
        <v>82.6906757723842</v>
      </c>
    </row>
    <row r="105" spans="1:33" ht="13.5">
      <c r="A105" s="9"/>
      <c r="B105" s="56" t="s">
        <v>11</v>
      </c>
      <c r="C105" s="42">
        <v>250041.32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250041.32</v>
      </c>
      <c r="AD105" s="33"/>
      <c r="AE105" s="67"/>
      <c r="AF105" s="92">
        <f>41185.37+20592.68+20592.69+20592.68+20592.68+21080.87+21080.87+21080.87+21080.87</f>
        <v>207879.58</v>
      </c>
      <c r="AG105" s="80">
        <f t="shared" si="9"/>
        <v>83.13809093633003</v>
      </c>
    </row>
    <row r="106" spans="1:33" ht="32.25" customHeight="1">
      <c r="A106" s="9"/>
      <c r="B106" s="56" t="s">
        <v>12</v>
      </c>
      <c r="C106" s="42">
        <v>81800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81800</v>
      </c>
      <c r="AD106" s="33"/>
      <c r="AE106" s="67"/>
      <c r="AF106" s="92">
        <f>52000+14522.25</f>
        <v>66522.25</v>
      </c>
      <c r="AG106" s="80">
        <f t="shared" si="9"/>
        <v>81.32304400977995</v>
      </c>
    </row>
    <row r="107" spans="1:33" ht="13.5">
      <c r="A107" s="9" t="s">
        <v>121</v>
      </c>
      <c r="B107" s="55" t="s">
        <v>21</v>
      </c>
      <c r="C107" s="41">
        <f>AC107+AD107</f>
        <v>13183892.32</v>
      </c>
      <c r="D107" s="41">
        <f aca="true" t="shared" si="14" ref="D107:AB107">SUM(D108:D109)</f>
        <v>0</v>
      </c>
      <c r="E107" s="41">
        <f t="shared" si="14"/>
        <v>0</v>
      </c>
      <c r="F107" s="41">
        <f t="shared" si="14"/>
        <v>0</v>
      </c>
      <c r="G107" s="41">
        <f t="shared" si="14"/>
        <v>0</v>
      </c>
      <c r="H107" s="41">
        <f t="shared" si="14"/>
        <v>0</v>
      </c>
      <c r="I107" s="41">
        <f t="shared" si="14"/>
        <v>0</v>
      </c>
      <c r="J107" s="41">
        <f t="shared" si="14"/>
        <v>0</v>
      </c>
      <c r="K107" s="41">
        <f t="shared" si="14"/>
        <v>0</v>
      </c>
      <c r="L107" s="41">
        <f t="shared" si="14"/>
        <v>0</v>
      </c>
      <c r="M107" s="41">
        <f t="shared" si="14"/>
        <v>0</v>
      </c>
      <c r="N107" s="41">
        <f t="shared" si="14"/>
        <v>0</v>
      </c>
      <c r="O107" s="41">
        <f t="shared" si="14"/>
        <v>0</v>
      </c>
      <c r="P107" s="41">
        <f t="shared" si="14"/>
        <v>0</v>
      </c>
      <c r="Q107" s="41">
        <f t="shared" si="14"/>
        <v>0</v>
      </c>
      <c r="R107" s="41">
        <f t="shared" si="14"/>
        <v>0</v>
      </c>
      <c r="S107" s="41">
        <f t="shared" si="14"/>
        <v>0</v>
      </c>
      <c r="T107" s="41">
        <f t="shared" si="14"/>
        <v>0</v>
      </c>
      <c r="U107" s="41">
        <f t="shared" si="14"/>
        <v>0</v>
      </c>
      <c r="V107" s="41">
        <f t="shared" si="14"/>
        <v>0</v>
      </c>
      <c r="W107" s="41">
        <f t="shared" si="14"/>
        <v>0</v>
      </c>
      <c r="X107" s="41">
        <f t="shared" si="14"/>
        <v>0</v>
      </c>
      <c r="Y107" s="41">
        <f t="shared" si="14"/>
        <v>0</v>
      </c>
      <c r="Z107" s="41">
        <f t="shared" si="14"/>
        <v>0</v>
      </c>
      <c r="AA107" s="41">
        <f t="shared" si="14"/>
        <v>0</v>
      </c>
      <c r="AB107" s="41">
        <f t="shared" si="14"/>
        <v>0</v>
      </c>
      <c r="AC107" s="41">
        <f>AC108+AC109+AC110+AC111</f>
        <v>12483892.32</v>
      </c>
      <c r="AD107" s="41">
        <f>AD108+AD109+AD110+AD111</f>
        <v>700000</v>
      </c>
      <c r="AE107" s="41">
        <f>AE108+AE109+AE110+AE111</f>
        <v>700000</v>
      </c>
      <c r="AF107" s="90">
        <f>AF108+AF109+AF110+AF111</f>
        <v>7449405.37</v>
      </c>
      <c r="AG107" s="79">
        <f t="shared" si="9"/>
        <v>56.50383960356861</v>
      </c>
    </row>
    <row r="108" spans="1:33" ht="46.5" customHeight="1">
      <c r="A108" s="9"/>
      <c r="B108" s="56" t="s">
        <v>31</v>
      </c>
      <c r="C108" s="42">
        <f>8326507.14+1750000+1400000+198000+579285.18</f>
        <v>12253792.32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12253792.32</v>
      </c>
      <c r="AD108" s="33"/>
      <c r="AE108" s="69"/>
      <c r="AF108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</f>
        <v>7369305.37</v>
      </c>
      <c r="AG108" s="80">
        <f t="shared" si="9"/>
        <v>60.13897720440556</v>
      </c>
    </row>
    <row r="109" spans="1:33" ht="42">
      <c r="A109" s="9"/>
      <c r="B109" s="56" t="s">
        <v>13</v>
      </c>
      <c r="C109" s="42">
        <v>150000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>C109</f>
        <v>150000</v>
      </c>
      <c r="AD109" s="16"/>
      <c r="AE109" s="71"/>
      <c r="AF109" s="91"/>
      <c r="AG109" s="80">
        <f t="shared" si="9"/>
        <v>0</v>
      </c>
    </row>
    <row r="110" spans="1:33" ht="13.5">
      <c r="A110" s="9"/>
      <c r="B110" s="26" t="s">
        <v>113</v>
      </c>
      <c r="C110" s="42">
        <f>AD110</f>
        <v>700000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/>
      <c r="AD110" s="32">
        <v>700000</v>
      </c>
      <c r="AE110" s="72">
        <f>AD110</f>
        <v>700000</v>
      </c>
      <c r="AF110" s="91"/>
      <c r="AG110" s="80">
        <f t="shared" si="9"/>
        <v>0</v>
      </c>
    </row>
    <row r="111" spans="1:33" ht="19.5" customHeight="1">
      <c r="A111" s="9"/>
      <c r="B111" s="56" t="s">
        <v>160</v>
      </c>
      <c r="C111" s="42">
        <f>AD111+AC111</f>
        <v>80100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60">
        <v>80100</v>
      </c>
      <c r="AD111" s="32"/>
      <c r="AE111" s="72"/>
      <c r="AF111" s="92">
        <v>80100</v>
      </c>
      <c r="AG111" s="80">
        <f t="shared" si="9"/>
        <v>100</v>
      </c>
    </row>
    <row r="112" spans="1:33" ht="27.75">
      <c r="A112" s="9" t="s">
        <v>122</v>
      </c>
      <c r="B112" s="55" t="s">
        <v>47</v>
      </c>
      <c r="C112" s="41">
        <f>SUM(C113:C113)</f>
        <v>121704.97</v>
      </c>
      <c r="D112" s="41">
        <f aca="true" t="shared" si="15" ref="D112:AB112">SUM(D113:D113)</f>
        <v>0</v>
      </c>
      <c r="E112" s="41">
        <f t="shared" si="15"/>
        <v>0</v>
      </c>
      <c r="F112" s="41">
        <f t="shared" si="15"/>
        <v>0</v>
      </c>
      <c r="G112" s="41">
        <f t="shared" si="15"/>
        <v>0</v>
      </c>
      <c r="H112" s="41">
        <f t="shared" si="15"/>
        <v>0</v>
      </c>
      <c r="I112" s="41">
        <f t="shared" si="15"/>
        <v>0</v>
      </c>
      <c r="J112" s="41">
        <f t="shared" si="15"/>
        <v>0</v>
      </c>
      <c r="K112" s="41">
        <f t="shared" si="15"/>
        <v>0</v>
      </c>
      <c r="L112" s="41">
        <f t="shared" si="15"/>
        <v>0</v>
      </c>
      <c r="M112" s="41">
        <f t="shared" si="15"/>
        <v>0</v>
      </c>
      <c r="N112" s="41">
        <f t="shared" si="15"/>
        <v>0</v>
      </c>
      <c r="O112" s="41">
        <f t="shared" si="15"/>
        <v>0</v>
      </c>
      <c r="P112" s="41">
        <f t="shared" si="15"/>
        <v>0</v>
      </c>
      <c r="Q112" s="41">
        <f t="shared" si="15"/>
        <v>0</v>
      </c>
      <c r="R112" s="41">
        <f t="shared" si="15"/>
        <v>0</v>
      </c>
      <c r="S112" s="41">
        <f t="shared" si="15"/>
        <v>0</v>
      </c>
      <c r="T112" s="41">
        <f t="shared" si="15"/>
        <v>0</v>
      </c>
      <c r="U112" s="41">
        <f t="shared" si="15"/>
        <v>0</v>
      </c>
      <c r="V112" s="41">
        <f t="shared" si="15"/>
        <v>0</v>
      </c>
      <c r="W112" s="41">
        <f t="shared" si="15"/>
        <v>0</v>
      </c>
      <c r="X112" s="41">
        <f t="shared" si="15"/>
        <v>0</v>
      </c>
      <c r="Y112" s="41">
        <f t="shared" si="15"/>
        <v>0</v>
      </c>
      <c r="Z112" s="41">
        <f t="shared" si="15"/>
        <v>0</v>
      </c>
      <c r="AA112" s="41">
        <f t="shared" si="15"/>
        <v>0</v>
      </c>
      <c r="AB112" s="41">
        <f t="shared" si="15"/>
        <v>0</v>
      </c>
      <c r="AC112" s="41">
        <f t="shared" si="7"/>
        <v>121704.97</v>
      </c>
      <c r="AD112" s="15"/>
      <c r="AE112" s="66"/>
      <c r="AF112" s="90">
        <f>SUM(AF113:AF113)</f>
        <v>99616.15</v>
      </c>
      <c r="AG112" s="79">
        <f t="shared" si="9"/>
        <v>81.85051933376262</v>
      </c>
    </row>
    <row r="113" spans="1:33" ht="23.25" customHeight="1">
      <c r="A113" s="9"/>
      <c r="B113" s="56" t="s">
        <v>48</v>
      </c>
      <c r="C113" s="42">
        <f>102000+19704.97</f>
        <v>121704.97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121704.97</v>
      </c>
      <c r="AD113" s="16"/>
      <c r="AE113" s="66"/>
      <c r="AF113" s="92">
        <v>99616.15</v>
      </c>
      <c r="AG113" s="78">
        <f t="shared" si="9"/>
        <v>81.85051933376262</v>
      </c>
    </row>
    <row r="114" spans="1:33" ht="13.5">
      <c r="A114" s="9" t="s">
        <v>123</v>
      </c>
      <c r="B114" s="55" t="s">
        <v>1</v>
      </c>
      <c r="C114" s="41">
        <f>SUM(C115:C116)</f>
        <v>851133.72</v>
      </c>
      <c r="D114" s="41">
        <f aca="true" t="shared" si="16" ref="D114:AB114">SUM(D115:D116)</f>
        <v>0</v>
      </c>
      <c r="E114" s="41">
        <f t="shared" si="16"/>
        <v>0</v>
      </c>
      <c r="F114" s="41">
        <f t="shared" si="16"/>
        <v>0</v>
      </c>
      <c r="G114" s="41">
        <f t="shared" si="16"/>
        <v>0</v>
      </c>
      <c r="H114" s="41">
        <f t="shared" si="16"/>
        <v>0</v>
      </c>
      <c r="I114" s="41">
        <f t="shared" si="16"/>
        <v>0</v>
      </c>
      <c r="J114" s="41">
        <f t="shared" si="16"/>
        <v>0</v>
      </c>
      <c r="K114" s="41">
        <f t="shared" si="16"/>
        <v>0</v>
      </c>
      <c r="L114" s="41">
        <f t="shared" si="16"/>
        <v>0</v>
      </c>
      <c r="M114" s="41">
        <f t="shared" si="16"/>
        <v>0</v>
      </c>
      <c r="N114" s="41">
        <f t="shared" si="16"/>
        <v>0</v>
      </c>
      <c r="O114" s="41">
        <f t="shared" si="16"/>
        <v>0</v>
      </c>
      <c r="P114" s="41">
        <f t="shared" si="16"/>
        <v>0</v>
      </c>
      <c r="Q114" s="41">
        <f t="shared" si="16"/>
        <v>0</v>
      </c>
      <c r="R114" s="41">
        <f t="shared" si="16"/>
        <v>0</v>
      </c>
      <c r="S114" s="41">
        <f t="shared" si="16"/>
        <v>0</v>
      </c>
      <c r="T114" s="41">
        <f t="shared" si="16"/>
        <v>0</v>
      </c>
      <c r="U114" s="41">
        <f t="shared" si="16"/>
        <v>0</v>
      </c>
      <c r="V114" s="41">
        <f t="shared" si="16"/>
        <v>0</v>
      </c>
      <c r="W114" s="41">
        <f t="shared" si="16"/>
        <v>0</v>
      </c>
      <c r="X114" s="41">
        <f t="shared" si="16"/>
        <v>0</v>
      </c>
      <c r="Y114" s="41">
        <f t="shared" si="16"/>
        <v>0</v>
      </c>
      <c r="Z114" s="41">
        <f t="shared" si="16"/>
        <v>0</v>
      </c>
      <c r="AA114" s="41">
        <f t="shared" si="16"/>
        <v>0</v>
      </c>
      <c r="AB114" s="41">
        <f t="shared" si="16"/>
        <v>0</v>
      </c>
      <c r="AC114" s="41">
        <f t="shared" si="7"/>
        <v>851133.72</v>
      </c>
      <c r="AD114" s="15"/>
      <c r="AE114" s="66"/>
      <c r="AF114" s="90">
        <f>SUM(AF115:AF116)</f>
        <v>755915.9400000001</v>
      </c>
      <c r="AG114" s="79">
        <f t="shared" si="9"/>
        <v>88.8128295516244</v>
      </c>
    </row>
    <row r="115" spans="1:33" ht="13.5">
      <c r="A115" s="9"/>
      <c r="B115" s="56" t="s">
        <v>61</v>
      </c>
      <c r="C115" s="42">
        <v>751133.72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2">
        <f t="shared" si="7"/>
        <v>751133.72</v>
      </c>
      <c r="AD115" s="16"/>
      <c r="AE115" s="66"/>
      <c r="AF115" s="91">
        <f>489369.46+67184.23+178391.37</f>
        <v>734945.06</v>
      </c>
      <c r="AG115" s="80">
        <f t="shared" si="9"/>
        <v>97.84476990328702</v>
      </c>
    </row>
    <row r="116" spans="1:33" ht="13.5">
      <c r="A116" s="9"/>
      <c r="B116" s="56" t="s">
        <v>32</v>
      </c>
      <c r="C116" s="42">
        <v>100000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100000</v>
      </c>
      <c r="AD116" s="16"/>
      <c r="AE116" s="66"/>
      <c r="AF116" s="91">
        <f>6764.94+4155.7+1905.74+2325.52+2271.44+3547.54</f>
        <v>20970.88</v>
      </c>
      <c r="AG116" s="80">
        <f t="shared" si="9"/>
        <v>20.97088</v>
      </c>
    </row>
    <row r="117" spans="1:33" ht="13.5">
      <c r="A117" s="9" t="s">
        <v>124</v>
      </c>
      <c r="B117" s="55" t="s">
        <v>33</v>
      </c>
      <c r="C117" s="41">
        <v>188376.21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41">
        <f t="shared" si="7"/>
        <v>188376.21</v>
      </c>
      <c r="AD117" s="16"/>
      <c r="AE117" s="66"/>
      <c r="AF117" s="90">
        <v>40000</v>
      </c>
      <c r="AG117" s="80">
        <f t="shared" si="9"/>
        <v>21.2341038180989</v>
      </c>
    </row>
    <row r="118" spans="1:33" ht="13.5">
      <c r="A118" s="9" t="s">
        <v>125</v>
      </c>
      <c r="B118" s="55" t="s">
        <v>167</v>
      </c>
      <c r="C118" s="41">
        <f>SUM(C119:C120)</f>
        <v>97441</v>
      </c>
      <c r="D118" s="41">
        <f aca="true" t="shared" si="17" ref="D118:AB118">SUM(D119:D120)</f>
        <v>0</v>
      </c>
      <c r="E118" s="41">
        <f t="shared" si="17"/>
        <v>0</v>
      </c>
      <c r="F118" s="41">
        <f t="shared" si="17"/>
        <v>0</v>
      </c>
      <c r="G118" s="41">
        <f t="shared" si="17"/>
        <v>0</v>
      </c>
      <c r="H118" s="41">
        <f t="shared" si="17"/>
        <v>0</v>
      </c>
      <c r="I118" s="41">
        <f t="shared" si="17"/>
        <v>0</v>
      </c>
      <c r="J118" s="41">
        <f t="shared" si="17"/>
        <v>0</v>
      </c>
      <c r="K118" s="41">
        <f t="shared" si="17"/>
        <v>0</v>
      </c>
      <c r="L118" s="41">
        <f t="shared" si="17"/>
        <v>0</v>
      </c>
      <c r="M118" s="41">
        <f t="shared" si="17"/>
        <v>0</v>
      </c>
      <c r="N118" s="41">
        <f t="shared" si="17"/>
        <v>0</v>
      </c>
      <c r="O118" s="41">
        <f t="shared" si="17"/>
        <v>0</v>
      </c>
      <c r="P118" s="41">
        <f t="shared" si="17"/>
        <v>0</v>
      </c>
      <c r="Q118" s="41">
        <f t="shared" si="17"/>
        <v>0</v>
      </c>
      <c r="R118" s="41">
        <f t="shared" si="17"/>
        <v>0</v>
      </c>
      <c r="S118" s="41">
        <f t="shared" si="17"/>
        <v>0</v>
      </c>
      <c r="T118" s="41">
        <f t="shared" si="17"/>
        <v>0</v>
      </c>
      <c r="U118" s="41">
        <f t="shared" si="17"/>
        <v>0</v>
      </c>
      <c r="V118" s="41">
        <f t="shared" si="17"/>
        <v>0</v>
      </c>
      <c r="W118" s="41">
        <f t="shared" si="17"/>
        <v>0</v>
      </c>
      <c r="X118" s="41">
        <f t="shared" si="17"/>
        <v>0</v>
      </c>
      <c r="Y118" s="41">
        <f t="shared" si="17"/>
        <v>0</v>
      </c>
      <c r="Z118" s="41">
        <f t="shared" si="17"/>
        <v>0</v>
      </c>
      <c r="AA118" s="41">
        <f t="shared" si="17"/>
        <v>0</v>
      </c>
      <c r="AB118" s="41">
        <f t="shared" si="17"/>
        <v>0</v>
      </c>
      <c r="AC118" s="41">
        <f t="shared" si="7"/>
        <v>97441</v>
      </c>
      <c r="AD118" s="48"/>
      <c r="AE118" s="66"/>
      <c r="AF118" s="90">
        <f>SUM(AF119:AF120)</f>
        <v>82109.48</v>
      </c>
      <c r="AG118" s="79">
        <f t="shared" si="9"/>
        <v>84.26584292033127</v>
      </c>
    </row>
    <row r="119" spans="1:33" ht="13.5">
      <c r="A119" s="9"/>
      <c r="B119" s="56" t="s">
        <v>34</v>
      </c>
      <c r="C119" s="42">
        <v>93250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93250</v>
      </c>
      <c r="AD119" s="16"/>
      <c r="AE119" s="66"/>
      <c r="AF119" s="91">
        <f>27053.44-4752.8+21602.9+20816.5+14571.55</f>
        <v>79291.59</v>
      </c>
      <c r="AG119" s="80">
        <f t="shared" si="9"/>
        <v>85.03119571045576</v>
      </c>
    </row>
    <row r="120" spans="1:33" ht="13.5">
      <c r="A120" s="9"/>
      <c r="B120" s="56" t="s">
        <v>62</v>
      </c>
      <c r="C120" s="42">
        <v>4191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4191</v>
      </c>
      <c r="AD120" s="16"/>
      <c r="AE120" s="66"/>
      <c r="AF120" s="91">
        <f>400.51+657.98+772.42+986.98</f>
        <v>2817.89</v>
      </c>
      <c r="AG120" s="80">
        <f t="shared" si="9"/>
        <v>67.23669768551657</v>
      </c>
    </row>
    <row r="121" spans="1:33" ht="13.5">
      <c r="A121" s="9" t="s">
        <v>126</v>
      </c>
      <c r="B121" s="55" t="s">
        <v>166</v>
      </c>
      <c r="C121" s="41">
        <f>SUM(C122:C123)</f>
        <v>31520</v>
      </c>
      <c r="D121" s="41">
        <f aca="true" t="shared" si="18" ref="D121:AB121">SUM(D122:D123)</f>
        <v>0</v>
      </c>
      <c r="E121" s="41">
        <f t="shared" si="18"/>
        <v>0</v>
      </c>
      <c r="F121" s="41">
        <f t="shared" si="18"/>
        <v>0</v>
      </c>
      <c r="G121" s="41">
        <f t="shared" si="18"/>
        <v>0</v>
      </c>
      <c r="H121" s="41">
        <f t="shared" si="18"/>
        <v>0</v>
      </c>
      <c r="I121" s="41">
        <f t="shared" si="18"/>
        <v>0</v>
      </c>
      <c r="J121" s="41">
        <f t="shared" si="18"/>
        <v>0</v>
      </c>
      <c r="K121" s="41">
        <f t="shared" si="18"/>
        <v>0</v>
      </c>
      <c r="L121" s="41">
        <f t="shared" si="18"/>
        <v>0</v>
      </c>
      <c r="M121" s="41">
        <f t="shared" si="18"/>
        <v>0</v>
      </c>
      <c r="N121" s="41">
        <f t="shared" si="18"/>
        <v>0</v>
      </c>
      <c r="O121" s="41">
        <f t="shared" si="18"/>
        <v>0</v>
      </c>
      <c r="P121" s="41">
        <f t="shared" si="18"/>
        <v>0</v>
      </c>
      <c r="Q121" s="41">
        <f t="shared" si="18"/>
        <v>0</v>
      </c>
      <c r="R121" s="41">
        <f t="shared" si="18"/>
        <v>0</v>
      </c>
      <c r="S121" s="41">
        <f t="shared" si="18"/>
        <v>0</v>
      </c>
      <c r="T121" s="41">
        <f t="shared" si="18"/>
        <v>0</v>
      </c>
      <c r="U121" s="41">
        <f t="shared" si="18"/>
        <v>0</v>
      </c>
      <c r="V121" s="41">
        <f t="shared" si="18"/>
        <v>0</v>
      </c>
      <c r="W121" s="41">
        <f t="shared" si="18"/>
        <v>0</v>
      </c>
      <c r="X121" s="41">
        <f t="shared" si="18"/>
        <v>0</v>
      </c>
      <c r="Y121" s="41">
        <f t="shared" si="18"/>
        <v>0</v>
      </c>
      <c r="Z121" s="41">
        <f t="shared" si="18"/>
        <v>0</v>
      </c>
      <c r="AA121" s="41">
        <f t="shared" si="18"/>
        <v>0</v>
      </c>
      <c r="AB121" s="41">
        <f t="shared" si="18"/>
        <v>0</v>
      </c>
      <c r="AC121" s="41">
        <f t="shared" si="7"/>
        <v>31520</v>
      </c>
      <c r="AD121" s="16"/>
      <c r="AE121" s="66"/>
      <c r="AF121" s="90">
        <f>SUM(AF122:AF123)</f>
        <v>570.07</v>
      </c>
      <c r="AG121" s="79">
        <f t="shared" si="9"/>
        <v>1.808597715736041</v>
      </c>
    </row>
    <row r="122" spans="1:33" ht="13.5">
      <c r="A122" s="9"/>
      <c r="B122" s="56" t="s">
        <v>35</v>
      </c>
      <c r="C122" s="42">
        <v>5331.2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5331.2</v>
      </c>
      <c r="AD122" s="16"/>
      <c r="AE122" s="66"/>
      <c r="AF122" s="91">
        <v>570.07</v>
      </c>
      <c r="AG122" s="80">
        <f t="shared" si="9"/>
        <v>10.69308973589436</v>
      </c>
    </row>
    <row r="123" spans="1:33" ht="13.5">
      <c r="A123" s="9"/>
      <c r="B123" s="56" t="s">
        <v>63</v>
      </c>
      <c r="C123" s="42">
        <v>26188.8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26188.8</v>
      </c>
      <c r="AD123" s="16"/>
      <c r="AE123" s="66"/>
      <c r="AF123" s="91"/>
      <c r="AG123" s="80">
        <f t="shared" si="9"/>
        <v>0</v>
      </c>
    </row>
    <row r="124" spans="1:33" ht="13.5">
      <c r="A124" s="9" t="s">
        <v>135</v>
      </c>
      <c r="B124" s="55" t="s">
        <v>136</v>
      </c>
      <c r="C124" s="41">
        <v>1500000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1">
        <f t="shared" si="7"/>
        <v>1500000</v>
      </c>
      <c r="AD124" s="16"/>
      <c r="AE124" s="66"/>
      <c r="AF124" s="93"/>
      <c r="AG124" s="78">
        <f t="shared" si="9"/>
        <v>0</v>
      </c>
    </row>
    <row r="125" spans="1:33" s="3" customFormat="1" ht="23.25" customHeight="1">
      <c r="A125" s="22" t="s">
        <v>110</v>
      </c>
      <c r="B125" s="59" t="s">
        <v>53</v>
      </c>
      <c r="C125" s="40">
        <f>C126</f>
        <v>32849</v>
      </c>
      <c r="D125" s="40">
        <f aca="true" t="shared" si="19" ref="D125:AB125">D126</f>
        <v>0</v>
      </c>
      <c r="E125" s="40">
        <f t="shared" si="19"/>
        <v>0</v>
      </c>
      <c r="F125" s="40">
        <f t="shared" si="19"/>
        <v>0</v>
      </c>
      <c r="G125" s="40">
        <f t="shared" si="19"/>
        <v>0</v>
      </c>
      <c r="H125" s="40">
        <f t="shared" si="19"/>
        <v>0</v>
      </c>
      <c r="I125" s="40">
        <f t="shared" si="19"/>
        <v>0</v>
      </c>
      <c r="J125" s="40">
        <f t="shared" si="19"/>
        <v>0</v>
      </c>
      <c r="K125" s="40">
        <f t="shared" si="19"/>
        <v>0</v>
      </c>
      <c r="L125" s="40">
        <f t="shared" si="19"/>
        <v>0</v>
      </c>
      <c r="M125" s="40">
        <f t="shared" si="19"/>
        <v>0</v>
      </c>
      <c r="N125" s="40">
        <f t="shared" si="19"/>
        <v>0</v>
      </c>
      <c r="O125" s="40">
        <f t="shared" si="19"/>
        <v>0</v>
      </c>
      <c r="P125" s="40">
        <f t="shared" si="19"/>
        <v>0</v>
      </c>
      <c r="Q125" s="40">
        <f t="shared" si="19"/>
        <v>0</v>
      </c>
      <c r="R125" s="40">
        <f t="shared" si="19"/>
        <v>0</v>
      </c>
      <c r="S125" s="40">
        <f t="shared" si="19"/>
        <v>0</v>
      </c>
      <c r="T125" s="40">
        <f t="shared" si="19"/>
        <v>0</v>
      </c>
      <c r="U125" s="40">
        <f t="shared" si="19"/>
        <v>0</v>
      </c>
      <c r="V125" s="40">
        <f t="shared" si="19"/>
        <v>0</v>
      </c>
      <c r="W125" s="40">
        <f t="shared" si="19"/>
        <v>0</v>
      </c>
      <c r="X125" s="40">
        <f t="shared" si="19"/>
        <v>0</v>
      </c>
      <c r="Y125" s="40">
        <f t="shared" si="19"/>
        <v>0</v>
      </c>
      <c r="Z125" s="40">
        <f t="shared" si="19"/>
        <v>0</v>
      </c>
      <c r="AA125" s="40">
        <f t="shared" si="19"/>
        <v>0</v>
      </c>
      <c r="AB125" s="40">
        <f t="shared" si="19"/>
        <v>0</v>
      </c>
      <c r="AC125" s="40">
        <f>AC126</f>
        <v>32849</v>
      </c>
      <c r="AD125" s="17"/>
      <c r="AE125" s="73"/>
      <c r="AF125" s="94">
        <f>BG125</f>
        <v>0</v>
      </c>
      <c r="AG125" s="76">
        <f t="shared" si="9"/>
        <v>0</v>
      </c>
    </row>
    <row r="126" spans="1:33" ht="27.75">
      <c r="A126" s="9" t="s">
        <v>127</v>
      </c>
      <c r="B126" s="117" t="s">
        <v>25</v>
      </c>
      <c r="C126" s="38">
        <v>32849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81">
        <f>C126</f>
        <v>32849</v>
      </c>
      <c r="AD126" s="16"/>
      <c r="AE126" s="66"/>
      <c r="AF126" s="91"/>
      <c r="AG126" s="79">
        <f t="shared" si="9"/>
        <v>0</v>
      </c>
    </row>
    <row r="127" spans="1:33" s="3" customFormat="1" ht="15">
      <c r="A127" s="22" t="s">
        <v>111</v>
      </c>
      <c r="B127" s="59" t="s">
        <v>29</v>
      </c>
      <c r="C127" s="40">
        <f>AC127</f>
        <v>832234.5</v>
      </c>
      <c r="D127" s="40">
        <f aca="true" t="shared" si="20" ref="D127:AB127">SUM(D129:D134)</f>
        <v>0</v>
      </c>
      <c r="E127" s="40">
        <f t="shared" si="20"/>
        <v>0</v>
      </c>
      <c r="F127" s="40">
        <f t="shared" si="20"/>
        <v>0</v>
      </c>
      <c r="G127" s="40">
        <f t="shared" si="20"/>
        <v>0</v>
      </c>
      <c r="H127" s="40">
        <f t="shared" si="20"/>
        <v>0</v>
      </c>
      <c r="I127" s="40">
        <f t="shared" si="20"/>
        <v>0</v>
      </c>
      <c r="J127" s="40">
        <f t="shared" si="20"/>
        <v>0</v>
      </c>
      <c r="K127" s="40">
        <f t="shared" si="20"/>
        <v>0</v>
      </c>
      <c r="L127" s="40">
        <f t="shared" si="20"/>
        <v>0</v>
      </c>
      <c r="M127" s="40">
        <f t="shared" si="20"/>
        <v>0</v>
      </c>
      <c r="N127" s="40">
        <f t="shared" si="20"/>
        <v>0</v>
      </c>
      <c r="O127" s="40">
        <f t="shared" si="20"/>
        <v>0</v>
      </c>
      <c r="P127" s="40">
        <f t="shared" si="20"/>
        <v>0</v>
      </c>
      <c r="Q127" s="40">
        <f t="shared" si="20"/>
        <v>0</v>
      </c>
      <c r="R127" s="40">
        <f t="shared" si="20"/>
        <v>0</v>
      </c>
      <c r="S127" s="40">
        <f t="shared" si="20"/>
        <v>0</v>
      </c>
      <c r="T127" s="40">
        <f t="shared" si="20"/>
        <v>0</v>
      </c>
      <c r="U127" s="40">
        <f t="shared" si="20"/>
        <v>0</v>
      </c>
      <c r="V127" s="40">
        <f t="shared" si="20"/>
        <v>0</v>
      </c>
      <c r="W127" s="40">
        <f t="shared" si="20"/>
        <v>0</v>
      </c>
      <c r="X127" s="40">
        <f t="shared" si="20"/>
        <v>0</v>
      </c>
      <c r="Y127" s="40">
        <f t="shared" si="20"/>
        <v>0</v>
      </c>
      <c r="Z127" s="40">
        <f t="shared" si="20"/>
        <v>0</v>
      </c>
      <c r="AA127" s="40">
        <f t="shared" si="20"/>
        <v>0</v>
      </c>
      <c r="AB127" s="40">
        <f t="shared" si="20"/>
        <v>0</v>
      </c>
      <c r="AC127" s="40">
        <f>AC129+AC130</f>
        <v>832234.5</v>
      </c>
      <c r="AD127" s="34">
        <f>AD134</f>
        <v>0</v>
      </c>
      <c r="AE127" s="65">
        <f>AD127</f>
        <v>0</v>
      </c>
      <c r="AF127" s="94">
        <f>AF128+AF134</f>
        <v>152930.3</v>
      </c>
      <c r="AG127" s="76">
        <f t="shared" si="9"/>
        <v>18.37586641745806</v>
      </c>
    </row>
    <row r="128" spans="1:33" ht="21" customHeight="1">
      <c r="A128" s="9" t="s">
        <v>114</v>
      </c>
      <c r="B128" s="55" t="s">
        <v>55</v>
      </c>
      <c r="C128" s="41">
        <f>C129+C130</f>
        <v>832234.5</v>
      </c>
      <c r="D128" s="41">
        <f aca="true" t="shared" si="21" ref="D128:AB128">D129+D134</f>
        <v>0</v>
      </c>
      <c r="E128" s="41">
        <f t="shared" si="21"/>
        <v>0</v>
      </c>
      <c r="F128" s="41">
        <f t="shared" si="21"/>
        <v>0</v>
      </c>
      <c r="G128" s="41">
        <f t="shared" si="21"/>
        <v>0</v>
      </c>
      <c r="H128" s="41">
        <f t="shared" si="21"/>
        <v>0</v>
      </c>
      <c r="I128" s="41">
        <f t="shared" si="21"/>
        <v>0</v>
      </c>
      <c r="J128" s="41">
        <f t="shared" si="21"/>
        <v>0</v>
      </c>
      <c r="K128" s="41">
        <f t="shared" si="21"/>
        <v>0</v>
      </c>
      <c r="L128" s="41">
        <f t="shared" si="21"/>
        <v>0</v>
      </c>
      <c r="M128" s="41">
        <f t="shared" si="21"/>
        <v>0</v>
      </c>
      <c r="N128" s="41">
        <f t="shared" si="21"/>
        <v>0</v>
      </c>
      <c r="O128" s="41">
        <f t="shared" si="21"/>
        <v>0</v>
      </c>
      <c r="P128" s="41">
        <f t="shared" si="21"/>
        <v>0</v>
      </c>
      <c r="Q128" s="41">
        <f t="shared" si="21"/>
        <v>0</v>
      </c>
      <c r="R128" s="41">
        <f t="shared" si="21"/>
        <v>0</v>
      </c>
      <c r="S128" s="41">
        <f t="shared" si="21"/>
        <v>0</v>
      </c>
      <c r="T128" s="41">
        <f t="shared" si="21"/>
        <v>0</v>
      </c>
      <c r="U128" s="41">
        <f t="shared" si="21"/>
        <v>0</v>
      </c>
      <c r="V128" s="41">
        <f t="shared" si="21"/>
        <v>0</v>
      </c>
      <c r="W128" s="41">
        <f t="shared" si="21"/>
        <v>0</v>
      </c>
      <c r="X128" s="41">
        <f t="shared" si="21"/>
        <v>0</v>
      </c>
      <c r="Y128" s="41">
        <f t="shared" si="21"/>
        <v>0</v>
      </c>
      <c r="Z128" s="41">
        <f t="shared" si="21"/>
        <v>0</v>
      </c>
      <c r="AA128" s="41">
        <f t="shared" si="21"/>
        <v>0</v>
      </c>
      <c r="AB128" s="41">
        <f t="shared" si="21"/>
        <v>0</v>
      </c>
      <c r="AC128" s="41">
        <f>C128</f>
        <v>832234.5</v>
      </c>
      <c r="AD128" s="61"/>
      <c r="AE128" s="74"/>
      <c r="AF128" s="90">
        <f>AF129+AF130</f>
        <v>152930.3</v>
      </c>
      <c r="AG128" s="77">
        <f t="shared" si="9"/>
        <v>18.37586641745806</v>
      </c>
    </row>
    <row r="129" spans="1:33" ht="42">
      <c r="A129" s="9"/>
      <c r="B129" s="56" t="s">
        <v>14</v>
      </c>
      <c r="C129" s="42">
        <v>823779.5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2">
        <f>C129</f>
        <v>823779.5</v>
      </c>
      <c r="AD129" s="62"/>
      <c r="AE129" s="75"/>
      <c r="AF129" s="118">
        <f>24211.33+10124.25+10765.51+13157.92+11695.74+9191.49+14350.76+21184.89+15358.73+16539.68+6350</f>
        <v>152930.3</v>
      </c>
      <c r="AG129" s="78">
        <f t="shared" si="9"/>
        <v>18.564470225345495</v>
      </c>
    </row>
    <row r="130" spans="1:33" ht="32.25" customHeight="1">
      <c r="A130" s="9"/>
      <c r="B130" s="120" t="s">
        <v>15</v>
      </c>
      <c r="C130" s="42">
        <v>8455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2">
        <f>C130</f>
        <v>8455</v>
      </c>
      <c r="AD130" s="62"/>
      <c r="AE130" s="75"/>
      <c r="AF130" s="91"/>
      <c r="AG130" s="78">
        <f t="shared" si="9"/>
        <v>0</v>
      </c>
    </row>
    <row r="131" spans="1:33" ht="32.25" customHeight="1">
      <c r="A131" s="121" t="s">
        <v>213</v>
      </c>
      <c r="B131" s="122" t="s">
        <v>214</v>
      </c>
      <c r="C131" s="128">
        <f>C132</f>
        <v>20000000</v>
      </c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8">
        <f>AC132</f>
        <v>20000000</v>
      </c>
      <c r="AD131" s="123"/>
      <c r="AE131" s="124"/>
      <c r="AF131" s="125"/>
      <c r="AG131" s="126"/>
    </row>
    <row r="132" spans="1:33" ht="43.5" customHeight="1">
      <c r="A132" s="9" t="s">
        <v>215</v>
      </c>
      <c r="B132" s="127" t="s">
        <v>216</v>
      </c>
      <c r="C132" s="38">
        <f>AC132</f>
        <v>20000000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8">
        <v>20000000</v>
      </c>
      <c r="AD132" s="62"/>
      <c r="AE132" s="75"/>
      <c r="AF132" s="91"/>
      <c r="AG132" s="78">
        <f t="shared" si="9"/>
        <v>0</v>
      </c>
    </row>
    <row r="133" spans="1:33" ht="43.5" customHeight="1">
      <c r="A133" s="121" t="s">
        <v>217</v>
      </c>
      <c r="B133" s="130" t="s">
        <v>219</v>
      </c>
      <c r="C133" s="128">
        <f>C134</f>
        <v>16489400</v>
      </c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8">
        <f>AC134</f>
        <v>16489400</v>
      </c>
      <c r="AD133" s="123"/>
      <c r="AE133" s="124"/>
      <c r="AF133" s="125"/>
      <c r="AG133" s="126"/>
    </row>
    <row r="134" spans="1:33" ht="93" customHeight="1">
      <c r="A134" s="9" t="s">
        <v>218</v>
      </c>
      <c r="B134" s="51" t="s">
        <v>220</v>
      </c>
      <c r="C134" s="38">
        <f>AC134</f>
        <v>16489400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8">
        <v>16489400</v>
      </c>
      <c r="AD134" s="35"/>
      <c r="AE134" s="68"/>
      <c r="AF134" s="95"/>
      <c r="AG134" s="78">
        <f t="shared" si="9"/>
        <v>0</v>
      </c>
    </row>
    <row r="135" spans="1:33" ht="24" customHeight="1">
      <c r="A135" s="137" t="s">
        <v>49</v>
      </c>
      <c r="B135" s="138"/>
      <c r="C135" s="50">
        <f>AC135+AE135</f>
        <v>131238802.62</v>
      </c>
      <c r="D135" s="50">
        <f aca="true" t="shared" si="22" ref="D135:AB135">D125+D70+D127</f>
        <v>0</v>
      </c>
      <c r="E135" s="50">
        <f t="shared" si="22"/>
        <v>0</v>
      </c>
      <c r="F135" s="50">
        <f t="shared" si="22"/>
        <v>0</v>
      </c>
      <c r="G135" s="50">
        <f t="shared" si="22"/>
        <v>0</v>
      </c>
      <c r="H135" s="50">
        <f t="shared" si="22"/>
        <v>0</v>
      </c>
      <c r="I135" s="50">
        <f t="shared" si="22"/>
        <v>0</v>
      </c>
      <c r="J135" s="50">
        <f t="shared" si="22"/>
        <v>0</v>
      </c>
      <c r="K135" s="50">
        <f t="shared" si="22"/>
        <v>0</v>
      </c>
      <c r="L135" s="50">
        <f t="shared" si="22"/>
        <v>0</v>
      </c>
      <c r="M135" s="50">
        <f t="shared" si="22"/>
        <v>0</v>
      </c>
      <c r="N135" s="50">
        <f t="shared" si="22"/>
        <v>0</v>
      </c>
      <c r="O135" s="50">
        <f t="shared" si="22"/>
        <v>0</v>
      </c>
      <c r="P135" s="50">
        <f t="shared" si="22"/>
        <v>0</v>
      </c>
      <c r="Q135" s="50">
        <f t="shared" si="22"/>
        <v>0</v>
      </c>
      <c r="R135" s="50">
        <f t="shared" si="22"/>
        <v>0</v>
      </c>
      <c r="S135" s="50">
        <f t="shared" si="22"/>
        <v>0</v>
      </c>
      <c r="T135" s="50">
        <f t="shared" si="22"/>
        <v>0</v>
      </c>
      <c r="U135" s="50">
        <f t="shared" si="22"/>
        <v>0</v>
      </c>
      <c r="V135" s="50">
        <f t="shared" si="22"/>
        <v>0</v>
      </c>
      <c r="W135" s="50">
        <f t="shared" si="22"/>
        <v>0</v>
      </c>
      <c r="X135" s="50">
        <f t="shared" si="22"/>
        <v>0</v>
      </c>
      <c r="Y135" s="50">
        <f t="shared" si="22"/>
        <v>0</v>
      </c>
      <c r="Z135" s="50">
        <f t="shared" si="22"/>
        <v>0</v>
      </c>
      <c r="AA135" s="50">
        <f t="shared" si="22"/>
        <v>0</v>
      </c>
      <c r="AB135" s="50">
        <f t="shared" si="22"/>
        <v>0</v>
      </c>
      <c r="AC135" s="50">
        <f>AC133+AC131+AC127+AC125+AC70</f>
        <v>86973338.18</v>
      </c>
      <c r="AD135" s="34">
        <f>AE135</f>
        <v>44265464.44</v>
      </c>
      <c r="AE135" s="65">
        <f>AE6+AE66+AE68+AE70+AE125+AE127</f>
        <v>44265464.44</v>
      </c>
      <c r="AF135" s="96">
        <f>AF127+AF125+AF70+AF68+AF66+AF6</f>
        <v>37795520.44</v>
      </c>
      <c r="AG135" s="76">
        <f t="shared" si="9"/>
        <v>28.799043945437663</v>
      </c>
    </row>
    <row r="136" spans="15:18" ht="12.75">
      <c r="O136" s="8"/>
      <c r="Q136" s="11"/>
      <c r="R136" s="11"/>
    </row>
    <row r="137" spans="1:29" s="4" customFormat="1" ht="18">
      <c r="A137" s="23"/>
      <c r="C137" s="1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3"/>
      <c r="P137" s="5"/>
      <c r="Q137" s="14"/>
      <c r="R137" s="14"/>
      <c r="S137" s="14"/>
      <c r="T137" s="14"/>
      <c r="U137" s="14"/>
      <c r="V137" s="14"/>
      <c r="W137" s="14"/>
      <c r="X137" s="5"/>
      <c r="Y137" s="5"/>
      <c r="Z137" s="5"/>
      <c r="AA137" s="5"/>
      <c r="AB137" s="5"/>
      <c r="AC137" s="5"/>
    </row>
    <row r="138" spans="15:23" ht="12.75">
      <c r="O138" s="8"/>
      <c r="Q138" s="10"/>
      <c r="R138" s="10"/>
      <c r="S138" s="10"/>
      <c r="T138" s="10"/>
      <c r="U138" s="10"/>
      <c r="V138" s="10"/>
      <c r="W138" s="10"/>
    </row>
    <row r="139" spans="1:31" ht="17.25">
      <c r="A139" s="136"/>
      <c r="B139" s="13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3"/>
      <c r="P139" s="5"/>
      <c r="Q139" s="14"/>
      <c r="R139" s="14"/>
      <c r="S139" s="14"/>
      <c r="T139" s="14"/>
      <c r="U139" s="14"/>
      <c r="V139" s="14"/>
      <c r="W139" s="14"/>
      <c r="X139" s="5"/>
      <c r="Y139" s="5"/>
      <c r="Z139" s="5"/>
      <c r="AA139" s="5"/>
      <c r="AB139" s="5"/>
      <c r="AC139" s="5"/>
      <c r="AE139" s="12"/>
    </row>
    <row r="140" ht="12.75">
      <c r="AD140" s="8"/>
    </row>
  </sheetData>
  <sheetProtection/>
  <mergeCells count="10">
    <mergeCell ref="AG4:AG5"/>
    <mergeCell ref="AF4:AF5"/>
    <mergeCell ref="A139:B139"/>
    <mergeCell ref="A135:B135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2018-09-19T04:50:25Z</dcterms:modified>
  <cp:category/>
  <cp:version/>
  <cp:contentType/>
  <cp:contentStatus/>
</cp:coreProperties>
</file>